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N:\COMPLIANCE STATEMENTS - RoHS, REACH, Conflict Minerals\CMRT\"/>
    </mc:Choice>
  </mc:AlternateContent>
  <xr:revisionPtr revIDLastSave="0" documentId="13_ncr:1_{C3ED2C87-7B19-4CC2-9D0A-5369844097B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7930" windowHeight="16440" tabRatio="592"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4" i="5"/>
  <c r="T64" i="5"/>
  <c r="S65" i="5"/>
  <c r="T65" i="5"/>
  <c r="S68" i="5"/>
  <c r="T68" i="5"/>
  <c r="S69" i="5"/>
  <c r="T69" i="5"/>
  <c r="S70" i="5"/>
  <c r="T70" i="5"/>
  <c r="S71" i="5"/>
  <c r="T71" i="5"/>
  <c r="S72" i="5"/>
  <c r="T72" i="5"/>
  <c r="S73" i="5"/>
  <c r="T73" i="5"/>
  <c r="S74" i="5"/>
  <c r="T74" i="5"/>
  <c r="S75" i="5"/>
  <c r="T75" i="5"/>
  <c r="S76" i="5"/>
  <c r="T76" i="5"/>
  <c r="S77" i="5"/>
  <c r="T77" i="5"/>
  <c r="S78" i="5"/>
  <c r="T78" i="5"/>
  <c r="S81" i="5"/>
  <c r="T81"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T105" i="5"/>
  <c r="S106" i="5"/>
  <c r="T106" i="5"/>
  <c r="S107" i="5"/>
  <c r="T107" i="5"/>
  <c r="S108" i="5"/>
  <c r="T108" i="5"/>
  <c r="S109" i="5"/>
  <c r="T109" i="5"/>
  <c r="S110"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05"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5"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4" i="5"/>
  <c r="V65" i="5"/>
  <c r="V68" i="5"/>
  <c r="V69" i="5"/>
  <c r="V70" i="5"/>
  <c r="V71" i="5"/>
  <c r="V72" i="5"/>
  <c r="V73" i="5"/>
  <c r="V74" i="5"/>
  <c r="V75" i="5"/>
  <c r="V76" i="5"/>
  <c r="V77" i="5"/>
  <c r="V78" i="5"/>
  <c r="V81" i="5"/>
  <c r="V83" i="5"/>
  <c r="V84" i="5"/>
  <c r="V85" i="5"/>
  <c r="V86" i="5"/>
  <c r="V87" i="5"/>
  <c r="V88" i="5"/>
  <c r="V89" i="5"/>
  <c r="V90" i="5"/>
  <c r="V91" i="5"/>
  <c r="V92" i="5"/>
  <c r="V93" i="5"/>
  <c r="V94" i="5"/>
  <c r="V95" i="5"/>
  <c r="V96" i="5"/>
  <c r="V97" i="5"/>
  <c r="V98" i="5"/>
  <c r="V99" i="5"/>
  <c r="V100" i="5"/>
  <c r="V101" i="5"/>
  <c r="V102" i="5"/>
  <c r="V103" i="5"/>
  <c r="V104" i="5"/>
  <c r="V105" i="5"/>
  <c r="E105" i="5"/>
  <c r="V106" i="5"/>
  <c r="V107" i="5"/>
  <c r="V108" i="5"/>
  <c r="V109" i="5"/>
  <c r="V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05"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X106" i="5"/>
  <c r="R98" i="5"/>
  <c r="R96" i="5"/>
  <c r="X94" i="5"/>
  <c r="R92" i="5"/>
  <c r="R88" i="5"/>
  <c r="R85" i="5"/>
  <c r="R84" i="5"/>
  <c r="R81" i="5"/>
  <c r="R78" i="5"/>
  <c r="R76" i="5"/>
  <c r="X74" i="5"/>
  <c r="R72" i="5"/>
  <c r="R69" i="5"/>
  <c r="R68" i="5"/>
  <c r="R65" i="5"/>
  <c r="R64"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47" i="5"/>
  <c r="H127" i="5"/>
  <c r="R127" i="5"/>
  <c r="J127" i="5"/>
  <c r="I127" i="5"/>
  <c r="X127" i="5"/>
  <c r="AB895" i="5"/>
  <c r="S895" i="5"/>
  <c r="AB1863" i="5"/>
  <c r="S1863" i="5"/>
  <c r="R54" i="5"/>
  <c r="R74" i="5"/>
  <c r="H123" i="5"/>
  <c r="J123" i="5"/>
  <c r="I123" i="5"/>
  <c r="R189" i="5"/>
  <c r="AB210" i="5"/>
  <c r="R225" i="5"/>
  <c r="F225" i="5"/>
  <c r="X225" i="5"/>
  <c r="F309" i="5"/>
  <c r="F357" i="5"/>
  <c r="R463" i="5"/>
  <c r="F586" i="5"/>
  <c r="I714" i="5"/>
  <c r="J714" i="5"/>
  <c r="S738" i="5"/>
  <c r="R94" i="5"/>
  <c r="AB170" i="5"/>
  <c r="X452" i="5"/>
  <c r="H452" i="5"/>
  <c r="F452" i="5"/>
  <c r="S1497" i="5"/>
  <c r="X26" i="5"/>
  <c r="I126" i="5"/>
  <c r="H126" i="5"/>
  <c r="H147" i="5"/>
  <c r="I147" i="5"/>
  <c r="F147" i="5"/>
  <c r="R237" i="5"/>
  <c r="F237" i="5"/>
  <c r="X237" i="5"/>
  <c r="J262" i="5"/>
  <c r="AB262" i="5"/>
  <c r="AB298" i="5"/>
  <c r="F451" i="5"/>
  <c r="R453" i="5"/>
  <c r="J453" i="5"/>
  <c r="H453" i="5"/>
  <c r="F453" i="5"/>
  <c r="X107" i="5"/>
  <c r="R125" i="5"/>
  <c r="AB1447" i="5"/>
  <c r="S1447" i="5"/>
  <c r="R22"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F133" i="5"/>
  <c r="F169" i="5"/>
  <c r="R169" i="5"/>
  <c r="X169" i="5"/>
  <c r="H195" i="5"/>
  <c r="F195" i="5"/>
  <c r="X195" i="5"/>
  <c r="R195" i="5"/>
  <c r="I195" i="5"/>
  <c r="J195"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X93" i="5"/>
  <c r="R99" i="5"/>
  <c r="X99" i="5"/>
  <c r="H135" i="5"/>
  <c r="F135" i="5"/>
  <c r="R135" i="5"/>
  <c r="J135" i="5"/>
  <c r="I135" i="5"/>
  <c r="X135" i="5"/>
  <c r="H159" i="5"/>
  <c r="X159" i="5"/>
  <c r="R159" i="5"/>
  <c r="J159" i="5"/>
  <c r="I159" i="5"/>
  <c r="F159" i="5"/>
  <c r="I373" i="5"/>
  <c r="R373" i="5"/>
  <c r="J373" i="5"/>
  <c r="H373" i="5"/>
  <c r="F373" i="5"/>
  <c r="X27" i="5"/>
  <c r="R27" i="5"/>
  <c r="R83" i="5"/>
  <c r="X83" i="5"/>
  <c r="R51" i="5"/>
  <c r="X51" i="5"/>
  <c r="R77" i="5"/>
  <c r="X77" i="5"/>
  <c r="R89" i="5"/>
  <c r="X89" i="5"/>
  <c r="X129" i="5"/>
  <c r="F129" i="5"/>
  <c r="H199" i="5"/>
  <c r="R199" i="5"/>
  <c r="J199" i="5"/>
  <c r="I199" i="5"/>
  <c r="F199" i="5"/>
  <c r="X199" i="5"/>
  <c r="H131" i="5"/>
  <c r="F131" i="5"/>
  <c r="X131" i="5"/>
  <c r="I131" i="5"/>
  <c r="R131" i="5"/>
  <c r="J131" i="5"/>
  <c r="R57" i="5"/>
  <c r="X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70" i="5"/>
  <c r="AB74" i="5"/>
  <c r="AB78" i="5"/>
  <c r="AB86" i="5"/>
  <c r="AB90" i="5"/>
  <c r="AB94"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71" i="5"/>
  <c r="AB75"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4" i="5"/>
  <c r="AB88" i="5"/>
  <c r="AB92" i="5"/>
  <c r="AB96" i="5"/>
  <c r="AB100" i="5"/>
  <c r="AB101" i="5"/>
  <c r="X109" i="5"/>
  <c r="R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H118" i="5"/>
  <c r="F122" i="5"/>
  <c r="R122" i="5"/>
  <c r="J122" i="5"/>
  <c r="J125" i="5"/>
  <c r="I125" i="5"/>
  <c r="H125" i="5"/>
  <c r="R18" i="5"/>
  <c r="R23" i="5"/>
  <c r="R26" i="5"/>
  <c r="X30" i="5"/>
  <c r="R31" i="5"/>
  <c r="X36" i="5"/>
  <c r="X40" i="5"/>
  <c r="X52" i="5"/>
  <c r="X56" i="5"/>
  <c r="X60" i="5"/>
  <c r="X64" i="5"/>
  <c r="X68" i="5"/>
  <c r="X72" i="5"/>
  <c r="X84" i="5"/>
  <c r="X88" i="5"/>
  <c r="X101" i="5"/>
  <c r="R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373"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<sst xmlns="http://schemas.openxmlformats.org/spreadsheetml/2006/main" count="23315" uniqueCount="15873">
  <si>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</si>
  <si>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</si>
  <si>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</si>
  <si>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</si>
  <si>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</si>
  <si>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</si>
  <si>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</si>
  <si>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</si>
  <si>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</si>
  <si>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</si>
  <si>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</si>
  <si>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</si>
  <si>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</si>
  <si>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</si>
  <si>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</si>
  <si>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</si>
  <si>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</si>
  <si>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</si>
  <si>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</si>
  <si>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</si>
  <si>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</si>
  <si>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</si>
  <si>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</si>
  <si>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</si>
  <si>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</si>
  <si>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</si>
  <si>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</si>
  <si>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</si>
  <si>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</si>
  <si>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</si>
  <si>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</si>
  <si>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</si>
  <si>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</si>
  <si>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</si>
  <si>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</si>
  <si>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</si>
  <si>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</si>
  <si>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</si>
  <si>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</si>
  <si>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</si>
  <si>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</si>
  <si>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</si>
  <si>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</si>
  <si>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</si>
  <si>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</si>
  <si>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</si>
  <si>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</si>
  <si>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</si>
  <si>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</si>
  <si>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</si>
  <si>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</si>
  <si>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</si>
  <si>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</si>
  <si>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</si>
  <si>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</si>
  <si>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</si>
  <si>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</si>
  <si>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</si>
  <si>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</si>
  <si>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</si>
  <si>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</si>
  <si>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</si>
  <si>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</si>
  <si>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</si>
  <si>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</si>
  <si>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</si>
  <si>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</si>
  <si>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</si>
  <si>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</si>
  <si>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</si>
  <si>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</si>
  <si>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</si>
  <si>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</si>
  <si>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</si>
  <si>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</si>
  <si>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</si>
  <si>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</si>
  <si>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</si>
  <si>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</si>
  <si>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</si>
  <si>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</si>
  <si>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</si>
  <si>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</si>
  <si>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</si>
  <si>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</si>
  <si>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</si>
  <si>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</si>
  <si>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</si>
  <si>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</si>
  <si>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</si>
  <si>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</si>
  <si>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</si>
  <si>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</si>
  <si>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</si>
  <si>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</si>
  <si>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</si>
  <si>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</si>
  <si>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</si>
  <si>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</si>
  <si>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</si>
  <si>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</si>
  <si>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</si>
  <si>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</si>
  <si>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</si>
  <si>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</si>
  <si>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</si>
  <si>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</si>
  <si>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</si>
  <si>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</si>
  <si>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</si>
  <si>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</si>
  <si>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</si>
  <si>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</si>
  <si>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</si>
  <si>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</si>
  <si>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</si>
  <si>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</si>
  <si>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</si>
  <si>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</si>
  <si>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</si>
  <si>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</si>
  <si>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</si>
  <si>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</si>
  <si>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</si>
  <si>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</si>
  <si>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</si>
  <si>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</si>
  <si>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</si>
  <si>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</si>
  <si>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</si>
  <si>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</si>
  <si>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</si>
  <si>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</si>
  <si>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</si>
  <si>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</si>
  <si>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</si>
  <si>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</si>
  <si>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</si>
  <si>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</si>
  <si>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</si>
  <si>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</si>
  <si>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</si>
  <si>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</si>
  <si>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</si>
  <si>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</si>
  <si>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</si>
  <si>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</si>
  <si>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</si>
  <si>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</si>
  <si>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</si>
  <si>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</si>
  <si>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</si>
  <si>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</si>
  <si>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</si>
  <si>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</si>
  <si>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</si>
  <si>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</si>
  <si>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</si>
  <si>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</si>
  <si>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</si>
  <si>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</si>
  <si>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</si>
  <si>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</si>
  <si>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</si>
  <si>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</si>
  <si>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</si>
  <si>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</si>
  <si>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</si>
  <si>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</si>
  <si>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</si>
  <si>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</si>
  <si>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</si>
  <si>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</si>
  <si>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</si>
  <si>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</si>
  <si>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</si>
  <si>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</si>
  <si>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</si>
  <si>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</si>
  <si>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</si>
  <si>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</si>
  <si>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</si>
  <si>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</si>
  <si>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</si>
  <si>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</si>
  <si>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</si>
  <si>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</si>
  <si>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</si>
  <si>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</si>
  <si>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</si>
  <si>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</si>
  <si>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</si>
  <si>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</si>
  <si>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</si>
  <si>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</si>
  <si>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</si>
  <si>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</si>
  <si>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</si>
  <si>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</si>
  <si>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</si>
  <si>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</si>
  <si>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</si>
  <si>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</si>
  <si>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</si>
  <si>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</si>
  <si>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</si>
  <si>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</si>
  <si>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</si>
  <si>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</si>
  <si>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</si>
  <si>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</si>
  <si>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</si>
  <si>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</si>
  <si>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</si>
  <si>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</si>
  <si>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</si>
  <si>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</si>
  <si>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</si>
  <si>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</si>
  <si>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</si>
  <si>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</si>
  <si>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</si>
  <si>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</si>
  <si>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</si>
  <si>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</si>
  <si>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</si>
  <si>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</si>
  <si>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</si>
  <si>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</si>
  <si>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</si>
  <si>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</si>
  <si>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</si>
  <si>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</si>
  <si>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</si>
  <si>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</si>
  <si>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</si>
  <si>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</si>
  <si>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</si>
  <si>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</si>
  <si>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</si>
  <si>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</si>
  <si>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</si>
  <si>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</si>
  <si>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</si>
  <si>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</si>
  <si>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</si>
  <si>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</si>
  <si>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</si>
  <si>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</si>
  <si>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</si>
  <si>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</si>
  <si>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</si>
  <si>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</si>
  <si>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</si>
  <si>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</si>
  <si>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</si>
  <si>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</si>
  <si>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</si>
  <si>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</si>
  <si>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</si>
  <si>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</si>
  <si>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</si>
  <si>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</si>
  <si>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</si>
  <si>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</si>
  <si>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</si>
  <si>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</si>
  <si>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</si>
  <si>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</si>
  <si>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</si>
  <si>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</si>
  <si>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</si>
  <si>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</si>
  <si>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</si>
  <si>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</si>
  <si>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</si>
  <si>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</si>
  <si>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</si>
  <si>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</si>
  <si>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</si>
  <si>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</si>
  <si>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</si>
  <si>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</si>
  <si>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</si>
  <si>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</si>
  <si>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</si>
  <si>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</si>
  <si>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</si>
  <si>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</si>
  <si>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</si>
  <si>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</si>
  <si>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</si>
  <si>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</si>
  <si>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</si>
  <si>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</si>
  <si>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</si>
  <si>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</si>
  <si>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</si>
  <si>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</si>
  <si>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</si>
  <si>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</si>
  <si>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</si>
  <si>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</si>
  <si>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</si>
  <si>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</si>
  <si>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</si>
  <si>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</si>
  <si>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</si>
  <si>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</si>
  <si>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</si>
  <si>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</si>
  <si>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</si>
  <si>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</si>
  <si>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</si>
  <si>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</si>
  <si>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</si>
  <si>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</si>
  <si>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</si>
  <si>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</si>
  <si>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</si>
  <si>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</si>
  <si>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</si>
  <si>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</si>
  <si>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</si>
  <si>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</si>
  <si>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</si>
  <si>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</si>
  <si>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</si>
  <si>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</si>
  <si>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</si>
  <si>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</si>
  <si>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</si>
  <si>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</si>
  <si>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</si>
  <si>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</si>
  <si>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</si>
  <si>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</si>
  <si>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</si>
  <si>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</si>
  <si>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</si>
  <si>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</si>
  <si>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</si>
  <si>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</si>
  <si>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</si>
  <si>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</si>
  <si>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</si>
  <si>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</si>
  <si>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</si>
  <si>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</si>
  <si>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</si>
  <si>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</si>
  <si>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</si>
  <si>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</si>
  <si>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</si>
  <si>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</si>
  <si>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</si>
  <si>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</si>
  <si>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</si>
  <si>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</si>
  <si>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</si>
  <si>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</si>
  <si>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</si>
  <si>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</si>
  <si>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</si>
  <si>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</si>
  <si>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</si>
  <si>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</si>
  <si>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</si>
  <si>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</si>
  <si>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</si>
  <si>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</si>
  <si>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</si>
  <si>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</si>
  <si>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</si>
  <si>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</si>
  <si>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</si>
  <si>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</si>
  <si>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</si>
  <si>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</si>
  <si>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</si>
  <si>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</si>
  <si>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</si>
  <si>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</si>
  <si>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</si>
  <si>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</si>
  <si>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</si>
  <si>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</si>
  <si>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</si>
  <si>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</si>
  <si>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</si>
  <si>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</si>
  <si>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</si>
  <si>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</si>
  <si>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</si>
  <si>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</si>
  <si>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</si>
  <si>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</si>
  <si>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</si>
  <si>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</si>
  <si>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</si>
  <si>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</si>
  <si>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</si>
  <si>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</si>
  <si>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</si>
  <si>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</si>
  <si>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</si>
  <si>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</si>
  <si>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</si>
  <si>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</si>
  <si>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</si>
  <si>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</si>
  <si>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</si>
  <si>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</si>
  <si>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</si>
  <si>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</si>
  <si>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</si>
  <si>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</si>
  <si>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</si>
  <si>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</si>
  <si>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</si>
  <si>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</si>
  <si>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</si>
  <si>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</si>
  <si>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</si>
  <si>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</si>
  <si>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</si>
  <si>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</si>
  <si>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</si>
  <si>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</si>
  <si>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</si>
  <si>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</si>
  <si>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</si>
  <si>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</si>
  <si>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</si>
  <si>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</si>
  <si>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</si>
  <si>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</si>
  <si>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</si>
  <si>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</si>
  <si>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</si>
  <si>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</si>
  <si>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</si>
  <si>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</si>
  <si>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</si>
  <si>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</si>
  <si>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</si>
  <si>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</si>
  <si>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</si>
  <si>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</si>
  <si>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</si>
  <si>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</si>
  <si>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</si>
  <si>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</si>
  <si>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</si>
  <si>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</si>
  <si>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</si>
  <si>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</si>
  <si>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</si>
  <si>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</si>
  <si>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</si>
  <si>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</si>
  <si>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</si>
  <si>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</si>
  <si>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</si>
  <si>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</si>
  <si>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</si>
  <si>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</si>
  <si>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</si>
  <si>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</si>
  <si>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</si>
  <si>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</si>
  <si>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</si>
  <si>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</si>
  <si>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</si>
  <si>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</si>
  <si>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</si>
  <si>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</si>
  <si>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</si>
  <si>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</si>
  <si>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</si>
  <si>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</si>
  <si>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</si>
  <si>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</si>
  <si>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</si>
  <si>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</si>
  <si>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</si>
  <si>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</si>
  <si>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</si>
  <si>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</si>
  <si>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</si>
  <si>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</si>
  <si>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</si>
  <si>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</si>
  <si>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</si>
  <si>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</si>
  <si>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</si>
  <si>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</si>
  <si>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</si>
  <si>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</si>
  <si>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</si>
  <si>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</si>
  <si>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</si>
  <si>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</si>
  <si>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</si>
  <si>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</si>
  <si>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</si>
  <si>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</si>
  <si>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</si>
  <si>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</si>
  <si>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</si>
  <si>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</si>
  <si>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</si>
  <si>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</si>
  <si>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</si>
  <si>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</si>
  <si>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</si>
  <si>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</si>
  <si>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</si>
  <si>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</si>
  <si>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</si>
  <si>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</si>
  <si>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</si>
  <si>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</si>
  <si>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</si>
  <si>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</si>
  <si>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</si>
  <si>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</si>
  <si>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</si>
  <si>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</si>
  <si>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</si>
  <si>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</si>
  <si>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</si>
  <si>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</si>
  <si>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</si>
  <si>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</si>
  <si>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</si>
  <si>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</si>
  <si>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</si>
  <si>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</si>
  <si>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</si>
  <si>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</si>
  <si>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</si>
  <si>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</si>
  <si>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</si>
  <si>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</si>
  <si>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</si>
  <si>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</si>
  <si>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</si>
  <si>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</si>
  <si>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</si>
  <si>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</si>
  <si>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</si>
  <si>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</si>
  <si>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</si>
  <si>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</si>
  <si>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</si>
  <si>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</si>
  <si>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</si>
  <si>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</si>
  <si>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</si>
  <si>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</si>
  <si>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</si>
  <si>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</si>
  <si>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</si>
  <si>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</si>
  <si>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</si>
  <si>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</si>
  <si>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</si>
  <si>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</si>
  <si>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</si>
  <si>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</si>
  <si>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</si>
  <si>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</si>
  <si>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</si>
  <si>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</si>
  <si>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</si>
  <si>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</si>
  <si>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</si>
  <si>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</si>
  <si>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</si>
  <si>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</si>
  <si>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</si>
  <si>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</si>
  <si>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</si>
  <si>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</si>
  <si>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</si>
  <si>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</si>
  <si>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</si>
  <si>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</si>
  <si>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</si>
  <si>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</si>
  <si>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</si>
  <si>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</si>
  <si>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</si>
  <si>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</si>
  <si>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</si>
  <si>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</si>
  <si>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</si>
  <si>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</si>
  <si>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</si>
  <si>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</si>
  <si>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</si>
  <si>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</si>
  <si>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</si>
  <si>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</si>
  <si>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</si>
  <si>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</si>
  <si>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</si>
  <si>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</si>
  <si>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</si>
  <si>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</si>
  <si>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</si>
  <si>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</si>
  <si>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</si>
  <si>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</si>
  <si>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</si>
  <si>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</si>
  <si>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</si>
  <si>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</si>
  <si>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</si>
  <si>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</si>
  <si>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</si>
  <si>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</si>
  <si>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</si>
  <si>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</si>
  <si>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</si>
  <si>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</si>
  <si>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</si>
  <si>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</si>
  <si>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</si>
  <si>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</si>
  <si>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</si>
  <si>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</si>
  <si>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</si>
  <si>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</si>
  <si>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</si>
  <si>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</si>
  <si>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</si>
  <si>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</si>
  <si>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</si>
  <si>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</si>
  <si>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</si>
  <si>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</si>
  <si>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</si>
  <si>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</si>
  <si>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</si>
  <si>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</si>
  <si>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</si>
  <si>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</si>
  <si>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</si>
  <si>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</si>
  <si>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</si>
  <si>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</si>
  <si>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</si>
  <si>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</si>
  <si>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</si>
  <si>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</si>
  <si>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</si>
  <si>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</si>
  <si>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</si>
  <si>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</si>
  <si>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</si>
  <si>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</si>
  <si>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</si>
  <si>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</si>
  <si>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</si>
  <si>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</si>
  <si>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</si>
  <si>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</si>
  <si>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</si>
  <si>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</si>
  <si>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</si>
  <si>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</si>
  <si>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</si>
  <si>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</si>
  <si>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</si>
  <si>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</si>
  <si>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</si>
  <si>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</si>
  <si>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</si>
  <si>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</si>
  <si>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</si>
  <si>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</si>
  <si>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</si>
  <si>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</si>
  <si>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</si>
  <si>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</si>
  <si>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</si>
  <si>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</si>
  <si>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</si>
  <si>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</si>
  <si>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</si>
  <si>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</si>
  <si>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</si>
  <si>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</si>
  <si>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</si>
  <si>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</si>
  <si>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</si>
  <si>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</si>
  <si>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</si>
  <si>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</si>
  <si>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</si>
  <si>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</si>
  <si>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</si>
  <si>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</si>
  <si>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</si>
  <si>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</si>
  <si>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</si>
  <si>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</si>
  <si>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</si>
  <si>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</si>
  <si>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</si>
  <si>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</si>
  <si>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</si>
  <si>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</si>
  <si>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</si>
  <si>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</si>
  <si>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</si>
  <si>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</si>
  <si>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</si>
  <si>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</si>
  <si>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</si>
  <si>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</si>
  <si>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</si>
  <si>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</si>
  <si>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</si>
  <si>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</si>
  <si>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</si>
  <si>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</si>
  <si>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</si>
  <si>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</si>
  <si>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</si>
  <si>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</si>
  <si>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</si>
  <si>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</si>
  <si>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</si>
  <si>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</si>
  <si>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</si>
  <si>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</si>
  <si>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</si>
  <si>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</si>
  <si>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</si>
  <si>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</si>
  <si>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</si>
  <si>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</si>
  <si>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</si>
  <si>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</si>
  <si>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</si>
  <si>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</si>
  <si>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</si>
  <si>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</si>
  <si>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</si>
  <si>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</si>
  <si>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</si>
  <si>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</si>
  <si>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</si>
  <si>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</si>
  <si>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</si>
  <si>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</si>
  <si>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</si>
  <si>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</si>
  <si>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</si>
  <si>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</si>
  <si>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</si>
  <si>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</si>
  <si>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</si>
  <si>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</si>
  <si>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</si>
  <si>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</si>
  <si>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</si>
  <si>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</si>
  <si>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</si>
  <si>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</si>
  <si>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</si>
  <si>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</si>
  <si>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</si>
  <si>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</si>
  <si>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</si>
  <si>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</si>
  <si>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</si>
  <si>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</si>
  <si>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</si>
  <si>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</si>
  <si>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</si>
  <si>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</si>
  <si>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</si>
  <si>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</si>
  <si>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</si>
  <si>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</si>
  <si>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</si>
  <si>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</si>
  <si>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</si>
  <si>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</si>
  <si>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</si>
  <si>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</si>
  <si>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</si>
  <si>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</si>
  <si>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</si>
  <si>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</si>
  <si>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</si>
  <si>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</si>
  <si>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</si>
  <si>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</si>
  <si>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</si>
  <si>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</si>
  <si>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</si>
  <si>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</si>
  <si>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</si>
  <si>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</si>
  <si>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</si>
  <si>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</si>
  <si>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</si>
  <si>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</si>
  <si>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</si>
  <si>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</si>
  <si>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</si>
  <si>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</si>
  <si>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</si>
  <si>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</si>
  <si>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</si>
  <si>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</si>
  <si>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</si>
  <si>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</si>
  <si>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</si>
  <si>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</si>
  <si>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</si>
  <si>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</si>
  <si>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</si>
  <si>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</si>
  <si>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</si>
  <si>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</si>
  <si>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</si>
  <si>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</si>
  <si>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</si>
  <si>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</si>
  <si>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</si>
  <si>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</si>
  <si>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</si>
  <si>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</si>
  <si>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</si>
  <si>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</si>
  <si>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</si>
  <si>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</si>
  <si>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</si>
  <si>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</si>
  <si>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</si>
  <si>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</si>
  <si>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</si>
  <si>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</si>
  <si>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</si>
  <si>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</si>
  <si>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</si>
  <si>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</si>
  <si>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</si>
  <si>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</si>
  <si>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</si>
  <si>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</si>
  <si>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</si>
  <si>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</si>
  <si>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</si>
  <si>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</si>
  <si>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</si>
  <si>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</si>
  <si>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</si>
  <si>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</si>
  <si>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</si>
  <si>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</si>
  <si>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</si>
  <si>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</si>
  <si>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</si>
  <si>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</si>
  <si>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</si>
  <si>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</si>
  <si>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</si>
  <si>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</si>
  <si>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</si>
  <si>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</si>
  <si>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</si>
  <si>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</si>
  <si>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</si>
  <si>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</si>
  <si>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</si>
  <si>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</si>
  <si>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</si>
  <si>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</si>
  <si>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</si>
  <si>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</si>
  <si>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</si>
  <si>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</si>
  <si>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</si>
  <si>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</si>
  <si>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</si>
  <si>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</si>
  <si>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</si>
  <si>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</si>
  <si>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</si>
  <si>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</si>
  <si>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</si>
  <si>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</si>
  <si>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</si>
  <si>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</si>
  <si>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</si>
  <si>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</si>
  <si>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</si>
  <si>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</si>
  <si>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</si>
  <si>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</si>
  <si>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</si>
  <si>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</si>
  <si>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</si>
  <si>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</si>
  <si>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</si>
  <si>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</si>
  <si>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</si>
  <si>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</si>
  <si>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</si>
  <si>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</si>
  <si>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</si>
  <si>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</si>
  <si>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</si>
  <si>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</si>
  <si>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</si>
  <si>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</si>
  <si>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</si>
  <si>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</si>
  <si>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</si>
  <si>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</si>
  <si>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</si>
  <si>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</si>
  <si>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</si>
  <si>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</si>
  <si>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</si>
  <si>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</si>
  <si>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</si>
  <si>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</si>
  <si>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</si>
  <si>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</si>
  <si>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</si>
  <si>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</si>
  <si>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</si>
  <si>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</si>
  <si>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</si>
  <si>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</si>
  <si>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</si>
  <si>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</si>
  <si>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</si>
  <si>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</si>
  <si>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</si>
  <si>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</si>
  <si>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</si>
  <si>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</si>
  <si>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</si>
  <si>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</si>
  <si>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</si>
  <si>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</si>
  <si>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</si>
  <si>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</si>
  <si>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</si>
  <si>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</si>
  <si>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</si>
  <si>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</si>
  <si>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</si>
  <si>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</si>
  <si>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</si>
  <si>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</si>
  <si>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</si>
  <si>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</si>
  <si>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</si>
  <si>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</si>
  <si>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</si>
  <si>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</si>
  <si>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</si>
  <si>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</si>
  <si>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</si>
  <si>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</si>
  <si>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</si>
  <si>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</si>
  <si>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</si>
  <si>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</si>
  <si>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</si>
  <si>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</si>
  <si>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</si>
  <si>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</si>
  <si>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</si>
  <si>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</si>
  <si>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</si>
  <si>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</si>
  <si>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</si>
  <si>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</si>
  <si>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</si>
  <si>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</si>
  <si>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</si>
  <si>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</si>
  <si>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</si>
  <si>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</si>
  <si>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</si>
  <si>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</si>
  <si>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</si>
  <si>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</si>
  <si>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</si>
  <si>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</si>
  <si>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</si>
  <si>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</si>
  <si>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</si>
  <si>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</si>
  <si>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</si>
  <si>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</si>
  <si>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</si>
  <si>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</si>
  <si>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</si>
  <si>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</si>
  <si>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</si>
  <si>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</si>
  <si>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</si>
  <si>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</si>
  <si>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</si>
  <si>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</si>
  <si>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</si>
  <si>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</si>
  <si>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</si>
  <si>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</si>
  <si>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</si>
  <si>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</si>
  <si>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</si>
  <si>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</si>
  <si>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</si>
  <si>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</si>
  <si>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</si>
  <si>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</si>
  <si>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</si>
  <si>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</si>
  <si>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</si>
  <si>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</si>
  <si>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</si>
  <si>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</si>
  <si>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</si>
  <si>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</si>
  <si>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</si>
  <si>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</si>
  <si>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</si>
  <si>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</si>
  <si>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</si>
  <si>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</si>
  <si>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</si>
  <si>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</si>
  <si>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</si>
  <si>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</si>
  <si>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</si>
  <si>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</si>
  <si>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</si>
  <si>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</si>
  <si>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</si>
  <si>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</si>
  <si>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</si>
  <si>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</si>
  <si>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</si>
  <si>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</si>
  <si>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</si>
  <si>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</si>
  <si>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</si>
  <si>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</si>
  <si>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</si>
  <si>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</si>
  <si>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</si>
  <si>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</si>
  <si>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</si>
  <si>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</si>
  <si>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</si>
  <si>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</si>
  <si>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</si>
  <si>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</si>
  <si>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</si>
  <si>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</si>
  <si>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</si>
  <si>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</si>
  <si>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</si>
  <si>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</si>
  <si>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</si>
  <si>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</si>
  <si>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</si>
  <si>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</si>
  <si>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</si>
  <si>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</si>
  <si>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</si>
  <si>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</si>
  <si>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</si>
  <si>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</si>
  <si>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</si>
  <si>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</si>
  <si>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</si>
  <si>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</si>
  <si>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</si>
  <si>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</si>
  <si>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</si>
  <si>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</si>
  <si>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</si>
  <si>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</si>
  <si>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</si>
  <si>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</si>
  <si>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</si>
  <si>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</si>
  <si>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</si>
  <si>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</si>
  <si>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</si>
  <si>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</si>
  <si>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</si>
  <si>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</si>
  <si>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</si>
  <si>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</si>
  <si>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</si>
  <si>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</si>
  <si>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</si>
  <si>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</si>
  <si>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</si>
  <si>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</si>
  <si>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</si>
  <si>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</si>
  <si>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</si>
  <si>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</si>
  <si>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</si>
  <si>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</si>
  <si>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</si>
  <si>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</si>
  <si>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</si>
  <si>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</si>
  <si>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</si>
  <si>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</si>
  <si>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</si>
  <si>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</si>
  <si>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</si>
  <si>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</si>
  <si>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</si>
  <si>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</si>
  <si>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</si>
  <si>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</si>
  <si>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</si>
  <si>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</si>
  <si>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</si>
  <si>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</si>
  <si>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</si>
  <si>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</si>
  <si>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</si>
  <si>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</si>
  <si>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</si>
  <si>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</si>
  <si>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</si>
  <si>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</si>
  <si>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</si>
  <si>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</si>
  <si>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</si>
  <si>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</si>
  <si>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</si>
  <si>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</si>
  <si>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</si>
  <si>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</si>
  <si>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</si>
  <si>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</si>
  <si>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</si>
  <si>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</si>
  <si>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</si>
  <si>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</si>
  <si>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</si>
  <si>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</si>
  <si>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</si>
  <si>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</si>
  <si>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</si>
  <si>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</si>
  <si>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</si>
  <si>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</si>
  <si>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</si>
  <si>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</si>
  <si>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</si>
  <si>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</si>
  <si>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</si>
  <si>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</si>
  <si>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</si>
  <si>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</si>
  <si>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</si>
  <si>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</si>
  <si>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</si>
  <si>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</si>
  <si>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</si>
  <si>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</si>
  <si>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</si>
  <si>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</si>
  <si>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</si>
  <si>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</si>
  <si>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</si>
  <si>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</si>
  <si>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</si>
  <si>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</si>
  <si>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</si>
  <si>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</si>
  <si>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</si>
  <si>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</si>
  <si>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</si>
  <si>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</si>
  <si>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</si>
  <si>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</si>
  <si>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</si>
  <si>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</si>
  <si>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</si>
  <si>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</si>
  <si>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</si>
  <si>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</si>
  <si>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</si>
  <si>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</si>
  <si>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</si>
  <si>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</si>
  <si>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</si>
  <si>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</si>
  <si>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</si>
  <si>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</si>
  <si>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</si>
  <si>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</si>
  <si>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</si>
  <si>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</si>
  <si>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</si>
  <si>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</si>
  <si>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</si>
  <si>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</si>
  <si>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</si>
  <si>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</si>
  <si>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</si>
  <si>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</si>
  <si>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</si>
  <si>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</si>
  <si>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</si>
  <si>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</si>
  <si>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</si>
  <si>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</si>
  <si>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</si>
  <si>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</si>
  <si>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</si>
  <si>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</si>
  <si>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</si>
  <si>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</si>
  <si>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</si>
  <si>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</si>
  <si>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</si>
  <si>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</si>
  <si>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</si>
  <si>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</si>
  <si>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</si>
  <si>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</si>
  <si>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</si>
  <si>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</si>
  <si>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</si>
  <si>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</si>
  <si>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</si>
  <si>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</si>
  <si>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</si>
  <si>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</si>
  <si>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</si>
  <si>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</si>
  <si>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</si>
  <si>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</si>
  <si>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</si>
  <si>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</si>
  <si>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</si>
  <si>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</si>
  <si>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</si>
  <si>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</si>
  <si>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</si>
  <si>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</si>
  <si>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</si>
  <si>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</si>
  <si>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</si>
  <si>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</si>
  <si>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</si>
  <si>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</si>
  <si>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</si>
  <si>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</si>
  <si>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</si>
  <si>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</si>
  <si>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</si>
  <si>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</si>
  <si>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</si>
  <si>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</si>
  <si>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</si>
  <si>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</si>
  <si>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</si>
  <si>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</si>
  <si>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</si>
  <si>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</si>
  <si>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</si>
  <si>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</si>
  <si>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</si>
  <si>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</si>
  <si>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</si>
  <si>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</si>
  <si>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</si>
  <si>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</si>
  <si>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</si>
  <si>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</si>
  <si>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</si>
  <si>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</si>
  <si>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</si>
  <si>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</si>
  <si>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</si>
  <si>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</si>
  <si>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</si>
  <si>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</si>
  <si>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</si>
  <si>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</si>
  <si>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</si>
  <si>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</si>
  <si>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</si>
  <si>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</si>
  <si>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</si>
  <si>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</si>
  <si>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</si>
  <si>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</si>
  <si>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</si>
  <si>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</si>
  <si>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</si>
  <si>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</si>
  <si>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</si>
  <si>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</si>
  <si>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</si>
  <si>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</si>
  <si>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</si>
  <si>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</si>
  <si>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</si>
  <si>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</si>
  <si>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</si>
  <si>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</si>
  <si>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</si>
  <si>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</si>
  <si>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</si>
  <si>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</si>
  <si>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</si>
  <si>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</si>
  <si>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</si>
  <si>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</si>
  <si>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</si>
  <si>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</si>
  <si>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</si>
  <si>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</si>
  <si>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</si>
  <si>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</si>
  <si>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</si>
  <si>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</si>
  <si>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</si>
  <si>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</si>
  <si>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</si>
  <si>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</si>
  <si>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</si>
  <si>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</si>
  <si>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</si>
  <si>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</si>
  <si>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</si>
  <si>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</si>
  <si>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</si>
  <si>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</si>
  <si>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</si>
  <si>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</si>
  <si>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</si>
  <si>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</si>
  <si>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</si>
  <si>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</si>
  <si>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</si>
  <si>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</si>
  <si>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</si>
  <si>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</si>
  <si>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</si>
  <si>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</si>
  <si>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</si>
  <si>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</si>
  <si>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</si>
  <si>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</si>
  <si>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</si>
  <si>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</si>
  <si>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</si>
  <si>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</si>
  <si>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</si>
  <si>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</si>
  <si>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</si>
  <si>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</si>
  <si>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</si>
  <si>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</si>
  <si>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</si>
  <si>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</si>
  <si>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</si>
  <si>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</si>
  <si>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</si>
  <si>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</si>
  <si>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</si>
  <si>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</si>
  <si>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</si>
  <si>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</si>
  <si>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</si>
  <si>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</si>
  <si>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</si>
  <si>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</si>
  <si>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</si>
  <si>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</si>
  <si>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</si>
  <si>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</si>
  <si>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</si>
  <si>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</si>
  <si>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</si>
  <si>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</si>
  <si>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</si>
  <si>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</si>
  <si>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</si>
  <si>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</si>
  <si>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</si>
  <si>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</si>
  <si>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</si>
  <si>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</si>
  <si>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</si>
  <si>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</si>
  <si>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</si>
  <si>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</si>
  <si>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</si>
  <si>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</si>
  <si>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</si>
  <si>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</si>
  <si>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</si>
  <si>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</si>
  <si>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</si>
  <si>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</si>
  <si>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</si>
  <si>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</si>
  <si>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</si>
  <si>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</si>
  <si>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</si>
  <si>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</si>
  <si>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</si>
  <si>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</si>
  <si>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</si>
  <si>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</si>
  <si>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</si>
  <si>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</si>
  <si>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</si>
  <si>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</si>
  <si>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</si>
  <si>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</si>
  <si>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</si>
  <si>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</si>
  <si>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</si>
  <si>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</si>
  <si>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</si>
  <si>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</si>
  <si>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</si>
  <si>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</si>
  <si>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</si>
  <si>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</si>
  <si>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</si>
  <si>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</si>
  <si>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</si>
  <si>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</si>
  <si>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</si>
  <si>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</si>
  <si>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</si>
  <si>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</si>
  <si>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</si>
  <si>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</si>
  <si>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</si>
  <si>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</si>
  <si>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</si>
  <si>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</si>
  <si>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</si>
  <si>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</si>
  <si>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</si>
  <si>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</si>
  <si>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</si>
  <si>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</si>
  <si>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</si>
  <si>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</si>
  <si>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</si>
  <si>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</si>
  <si>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</si>
  <si>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</si>
  <si>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</si>
  <si>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</si>
  <si>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</si>
  <si>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</si>
  <si>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</si>
  <si>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</si>
  <si>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</si>
  <si>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</si>
  <si>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</si>
  <si>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</si>
  <si>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</si>
  <si>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</si>
  <si>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</si>
  <si>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</si>
  <si>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</si>
  <si>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</si>
  <si>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</si>
  <si>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</si>
  <si>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</si>
  <si>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</si>
  <si>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</si>
  <si>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</si>
  <si>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</si>
  <si>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</si>
  <si>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</si>
  <si>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</si>
  <si>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</si>
  <si>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</si>
  <si>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</si>
  <si>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</si>
  <si>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</si>
  <si>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</si>
  <si>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</si>
  <si>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</si>
  <si>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</si>
  <si>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</si>
  <si>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</si>
  <si>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</si>
  <si>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</si>
  <si>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</si>
  <si>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</si>
  <si>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</si>
  <si>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</si>
  <si>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</si>
  <si>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</si>
  <si>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</si>
  <si>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</si>
  <si>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</si>
  <si>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</si>
  <si>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</si>
  <si>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</si>
  <si>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</si>
  <si>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</si>
  <si>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</si>
  <si>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</si>
  <si>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</si>
  <si>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</si>
  <si>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</si>
  <si>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</si>
  <si>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</si>
  <si>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</si>
  <si>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</si>
  <si>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</si>
  <si>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</si>
  <si>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</si>
  <si>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</si>
  <si>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</si>
  <si>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</si>
  <si>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</si>
  <si>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</si>
  <si>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</si>
  <si>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</si>
  <si>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</si>
  <si>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</si>
  <si>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</si>
  <si>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</si>
  <si>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</si>
  <si>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</si>
  <si>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</si>
  <si>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</si>
  <si>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</si>
  <si>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</si>
  <si>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</si>
  <si>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</si>
  <si>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</si>
  <si>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</si>
  <si>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</si>
  <si>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</si>
  <si>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</si>
  <si>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</si>
  <si>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</si>
  <si>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</si>
  <si>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</si>
  <si>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</si>
  <si>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</si>
  <si>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</si>
  <si>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</si>
  <si>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</si>
  <si>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</si>
  <si>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</si>
  <si>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</si>
  <si>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</si>
  <si>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</si>
  <si>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</si>
  <si>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</si>
  <si>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</si>
  <si>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</si>
  <si>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</si>
  <si>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</si>
  <si>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</si>
  <si>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</si>
  <si>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</si>
  <si>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</si>
  <si>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</si>
  <si>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</si>
  <si>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</si>
  <si>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</si>
  <si>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</si>
  <si>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</si>
  <si>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</si>
  <si>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</si>
  <si>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</si>
  <si>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</si>
  <si>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</si>
  <si>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</si>
  <si>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</si>
  <si>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</si>
  <si>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</si>
  <si>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</si>
  <si>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</si>
  <si>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</si>
  <si>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</si>
  <si>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</si>
  <si>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</si>
  <si>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</si>
  <si>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</si>
  <si>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</si>
  <si>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</si>
  <si>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</si>
  <si>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</si>
  <si>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</si>
  <si>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</si>
  <si>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</si>
  <si>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</si>
  <si>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</si>
  <si>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</si>
  <si>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</si>
  <si>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</si>
  <si>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</si>
  <si>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</si>
  <si>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</si>
  <si>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</si>
  <si>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</si>
  <si>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</si>
  <si>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</si>
  <si>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</si>
  <si>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</si>
  <si>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</si>
  <si>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</si>
  <si>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</si>
  <si>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</si>
  <si>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</si>
  <si>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</si>
  <si>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</si>
  <si>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</si>
  <si>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</si>
  <si>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</si>
  <si>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</si>
  <si>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</si>
  <si>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</si>
  <si>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</si>
  <si>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</si>
  <si>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</si>
  <si>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</si>
  <si>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</si>
  <si>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</si>
  <si>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</si>
  <si>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</si>
  <si>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</si>
  <si>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</si>
  <si>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</si>
  <si>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</si>
  <si>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</si>
  <si>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</si>
  <si>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</si>
  <si>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</si>
  <si>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</si>
  <si>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</si>
  <si>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</si>
  <si>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</si>
  <si>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</si>
  <si>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</si>
  <si>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</si>
  <si>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</si>
  <si>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</si>
  <si>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</si>
  <si>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</si>
  <si>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</si>
  <si>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</si>
  <si>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</si>
  <si>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</si>
  <si>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</si>
  <si>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</si>
  <si>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</si>
  <si>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</si>
  <si>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</si>
  <si>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</si>
  <si>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</si>
  <si>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</si>
  <si>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</si>
  <si>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</si>
  <si>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</si>
  <si>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</si>
  <si>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</si>
  <si>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</si>
  <si>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</si>
  <si>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</si>
  <si>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</si>
  <si>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</si>
  <si>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</si>
  <si>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</si>
  <si>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</si>
  <si>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</si>
  <si>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</si>
  <si>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</si>
  <si>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</si>
  <si>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</si>
  <si>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</si>
  <si>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</si>
  <si>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</si>
  <si>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</si>
  <si>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</si>
  <si>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</si>
  <si>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</si>
  <si>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</si>
  <si>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</si>
  <si>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</si>
  <si>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</si>
  <si>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</si>
  <si>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</si>
  <si>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</si>
  <si>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</si>
  <si>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</si>
  <si>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</si>
  <si>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</si>
  <si>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</si>
  <si>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</si>
  <si>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</si>
  <si>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</si>
  <si>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</si>
  <si>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</si>
  <si>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</si>
  <si>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</si>
  <si>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</si>
  <si>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</si>
  <si>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</si>
  <si>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</si>
  <si>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</si>
  <si>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</si>
  <si>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</si>
  <si>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</si>
  <si>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</si>
  <si>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</si>
  <si>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</si>
  <si>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</si>
  <si>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</si>
  <si>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</si>
  <si>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</si>
  <si>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</si>
  <si>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</si>
  <si>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</si>
  <si>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</si>
  <si>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</si>
  <si>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</si>
  <si>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</si>
  <si>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</si>
  <si>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</si>
  <si>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</si>
  <si>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</si>
  <si>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</si>
  <si>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</si>
  <si>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</si>
  <si>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</si>
  <si>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</si>
  <si>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</si>
  <si>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</si>
  <si>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</si>
  <si>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</si>
  <si>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</si>
  <si>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</si>
  <si>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</si>
  <si>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</si>
  <si>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</si>
  <si>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</si>
  <si>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</si>
  <si>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</si>
  <si>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</si>
  <si>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</si>
  <si>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</si>
  <si>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</si>
  <si>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</si>
  <si>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</si>
  <si>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</si>
  <si>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</si>
  <si>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</si>
  <si>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</si>
  <si>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</si>
  <si>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</si>
  <si>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</si>
  <si>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</si>
  <si>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</si>
  <si>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</si>
  <si>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</si>
  <si>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</si>
  <si>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</si>
  <si>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</si>
  <si>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</si>
  <si>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</si>
  <si>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</si>
  <si>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</si>
  <si>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</si>
  <si>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</si>
  <si>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</si>
  <si>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</si>
  <si>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</si>
  <si>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</si>
  <si>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</si>
  <si>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</si>
  <si>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</si>
  <si>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</si>
  <si>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</si>
  <si>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</si>
  <si>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</si>
  <si>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</si>
  <si>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</si>
  <si>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</si>
  <si>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</si>
  <si>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</si>
  <si>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</si>
  <si>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</si>
  <si>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</si>
  <si>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</si>
  <si>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</si>
  <si>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</si>
  <si>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</si>
  <si>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</si>
  <si>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</si>
  <si>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</si>
  <si>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</si>
  <si>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</si>
  <si>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</si>
  <si>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</si>
  <si>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</si>
  <si>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</si>
  <si>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</si>
  <si>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</si>
  <si>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</si>
  <si>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</si>
  <si>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</si>
  <si>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</si>
  <si>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</si>
  <si>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</si>
  <si>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</si>
  <si>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</si>
  <si>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</si>
  <si>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</si>
  <si>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</si>
  <si>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</si>
  <si>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</si>
  <si>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</si>
  <si>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</si>
  <si>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</si>
  <si>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</si>
  <si>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</si>
  <si>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</si>
  <si>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</si>
  <si>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</si>
  <si>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</si>
  <si>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</si>
  <si>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</si>
  <si>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</si>
  <si>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</si>
  <si>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</si>
  <si>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</si>
  <si>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</si>
  <si>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</si>
  <si>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</si>
  <si>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</si>
  <si>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</si>
  <si>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</si>
  <si>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</si>
  <si>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</si>
  <si>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</si>
  <si>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</si>
  <si>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</si>
  <si>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</si>
  <si>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</si>
  <si>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</si>
  <si>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</si>
  <si>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</si>
  <si>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</si>
  <si>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</si>
  <si>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</si>
  <si>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</si>
  <si>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</si>
  <si>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</si>
  <si>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</si>
  <si>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</si>
  <si>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</si>
  <si>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</si>
  <si>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</si>
  <si>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</si>
  <si>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</si>
  <si>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</si>
  <si>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</si>
  <si>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</si>
  <si>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</si>
  <si>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</si>
  <si>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</si>
  <si>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</si>
  <si>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</si>
  <si>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</si>
  <si>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</si>
  <si>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</si>
  <si>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</si>
  <si>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</si>
  <si>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</si>
  <si>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</si>
  <si>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</si>
  <si>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</si>
  <si>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</si>
  <si>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</si>
  <si>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</si>
  <si>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</si>
  <si>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</si>
  <si>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</si>
  <si>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</si>
  <si>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</si>
  <si>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</si>
  <si>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</si>
  <si>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</si>
  <si>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</si>
  <si>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</si>
  <si>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</si>
  <si>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</si>
  <si>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</si>
  <si>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</si>
  <si>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</si>
  <si>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</si>
  <si>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</si>
  <si>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</si>
  <si>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</si>
  <si>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</si>
  <si>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</si>
  <si>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</si>
  <si>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</si>
  <si>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</si>
  <si>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</si>
  <si>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</si>
  <si>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</si>
  <si>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</si>
  <si>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</si>
  <si>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</si>
  <si>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</si>
  <si>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</si>
  <si>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</si>
  <si>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</si>
  <si>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</si>
  <si>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</si>
  <si>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</si>
  <si>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</si>
  <si>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</si>
  <si>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</si>
  <si>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</si>
  <si>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</si>
  <si>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</si>
  <si>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</si>
  <si>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</si>
  <si>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</si>
  <si>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</si>
  <si>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</si>
  <si>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</si>
  <si>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</si>
  <si>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</si>
  <si>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</si>
  <si>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</si>
  <si>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</si>
  <si>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</si>
  <si>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</si>
  <si>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</si>
  <si>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</si>
  <si>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</si>
  <si>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</si>
  <si>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</si>
  <si>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</si>
  <si>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</si>
  <si>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</si>
  <si>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</si>
  <si>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</si>
  <si>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</si>
  <si>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</si>
  <si>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</si>
  <si>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</si>
  <si>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</si>
  <si>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</si>
  <si>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</si>
  <si>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</si>
  <si>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</si>
  <si>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</si>
  <si>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</si>
  <si>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</si>
  <si>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</si>
  <si>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</si>
  <si>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</si>
  <si>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</si>
  <si>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</si>
  <si>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</si>
  <si>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</si>
  <si>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</si>
  <si>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</si>
  <si>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</si>
  <si>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</si>
  <si>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</si>
  <si>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</si>
  <si>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</si>
  <si>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</si>
  <si>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</si>
  <si>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</si>
  <si>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</si>
  <si>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</si>
  <si>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</si>
  <si>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</si>
  <si>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</si>
  <si>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</si>
  <si>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</si>
  <si>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</si>
  <si>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</si>
  <si>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</si>
  <si>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</si>
  <si>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</si>
  <si>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</si>
  <si>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</si>
  <si>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</si>
  <si>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</si>
  <si>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</si>
  <si>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</si>
  <si>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</si>
  <si>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</si>
  <si>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</si>
  <si>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</si>
  <si>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</si>
  <si>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</si>
  <si>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</si>
  <si>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</si>
  <si>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</si>
  <si>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</si>
  <si>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</si>
  <si>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</si>
  <si>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</si>
  <si>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</si>
  <si>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</si>
  <si>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</si>
  <si>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</si>
  <si>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</si>
  <si>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</si>
  <si>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</si>
  <si>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</si>
  <si>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</si>
  <si>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</si>
  <si>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</si>
  <si>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</si>
  <si>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</si>
  <si>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</si>
  <si>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</si>
  <si>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</si>
  <si>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</si>
  <si>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</si>
  <si>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</si>
  <si>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</si>
  <si>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</si>
  <si>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</si>
  <si>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</si>
  <si>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</si>
  <si>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</si>
  <si>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</si>
  <si>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</si>
  <si>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</si>
  <si>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</si>
  <si>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</si>
  <si>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</si>
  <si>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</si>
  <si>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</si>
  <si>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</si>
  <si>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</si>
  <si>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</si>
  <si>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</si>
  <si>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</si>
  <si>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</si>
  <si>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</si>
  <si>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</si>
  <si>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</si>
  <si>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</si>
  <si>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</si>
  <si>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</si>
  <si>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</si>
  <si>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</si>
  <si>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</si>
  <si>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</si>
  <si>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</si>
  <si>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</si>
  <si>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</si>
  <si>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</si>
  <si>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</si>
  <si>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</si>
  <si>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</si>
  <si>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</si>
  <si>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</si>
  <si>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</si>
  <si>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</si>
  <si>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</si>
  <si>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</si>
  <si>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</si>
  <si>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</si>
  <si>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</si>
  <si>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</si>
  <si>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</si>
  <si>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</si>
  <si>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</si>
  <si>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</si>
  <si>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</si>
  <si>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</si>
  <si>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</si>
  <si>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</si>
  <si>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</si>
  <si>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</si>
  <si>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</si>
  <si>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</si>
  <si>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</si>
  <si>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</si>
  <si>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</si>
  <si>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</si>
  <si>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</si>
  <si>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</si>
  <si>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</si>
  <si>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</si>
  <si>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</si>
  <si>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</si>
  <si>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</si>
  <si>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</si>
  <si>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</si>
  <si>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</si>
  <si>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</si>
  <si>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</si>
  <si>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</si>
  <si>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</si>
  <si>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</si>
  <si>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</si>
  <si>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</si>
  <si>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</si>
  <si>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</si>
  <si>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</si>
  <si>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</si>
  <si>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</si>
  <si>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</si>
  <si>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</si>
  <si>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</si>
  <si>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</si>
  <si>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</si>
  <si>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</si>
  <si>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</si>
  <si>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</si>
  <si>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</si>
  <si>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</si>
  <si>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</si>
  <si>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</si>
  <si>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</si>
  <si>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</si>
  <si>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</si>
  <si>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</si>
  <si>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</si>
  <si>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</si>
  <si>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</si>
  <si>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</si>
  <si>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</si>
  <si>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</si>
  <si>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</si>
  <si>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</si>
  <si>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</si>
  <si>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</si>
  <si>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</si>
  <si>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</si>
  <si>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</si>
  <si>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</si>
  <si>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</si>
  <si>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</si>
  <si>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</si>
  <si>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</si>
  <si>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</si>
  <si>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</si>
  <si>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</si>
  <si>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</si>
  <si>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</si>
  <si>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</si>
  <si>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</si>
  <si>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</si>
  <si>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</si>
  <si>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</si>
  <si>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</si>
  <si>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</si>
  <si>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</si>
  <si>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</si>
  <si>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</si>
  <si>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</si>
  <si>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</si>
  <si>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</si>
  <si>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</si>
  <si>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</si>
  <si>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</si>
  <si>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</si>
  <si>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</si>
  <si>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</si>
  <si>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</si>
  <si>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</si>
  <si>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</si>
  <si>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</si>
  <si>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</si>
  <si>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</si>
  <si>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</si>
  <si>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</si>
  <si>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</si>
  <si>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</si>
  <si>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</si>
  <si>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</si>
  <si>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</si>
  <si>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</si>
  <si>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</si>
  <si>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</si>
  <si>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</si>
  <si>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</si>
  <si>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</si>
  <si>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</si>
  <si>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</si>
  <si>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</si>
  <si>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</si>
  <si>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</si>
  <si>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</si>
  <si>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</si>
  <si>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</si>
  <si>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</si>
  <si>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</si>
  <si>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</si>
  <si>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</si>
  <si>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</si>
  <si>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</si>
  <si>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</si>
  <si>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</si>
  <si>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</si>
  <si>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</si>
  <si>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</si>
  <si>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</si>
  <si>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</si>
  <si>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</si>
  <si>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</si>
  <si>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</si>
  <si>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</si>
  <si>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</si>
  <si>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</si>
  <si>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</si>
  <si>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</si>
  <si>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</si>
  <si>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</si>
  <si>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</si>
  <si>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</si>
  <si>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</si>
  <si>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</si>
  <si>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</si>
  <si>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</si>
  <si>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</si>
  <si>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</si>
  <si>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</si>
  <si>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</si>
  <si>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</si>
  <si>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</si>
  <si>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</si>
  <si>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</si>
  <si>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</si>
  <si>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</si>
  <si>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</si>
  <si>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</si>
  <si>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</si>
  <si>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</si>
  <si>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</si>
  <si>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</si>
  <si>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</si>
  <si>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</si>
  <si>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</si>
  <si>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</si>
  <si>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</si>
  <si>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</si>
  <si>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</si>
  <si>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</si>
  <si>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</si>
  <si>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</si>
  <si>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</si>
  <si>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</si>
  <si>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</si>
  <si>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</si>
  <si>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</si>
  <si>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</si>
  <si>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</si>
  <si>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</si>
  <si>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</si>
  <si>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</si>
  <si>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</si>
  <si>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</si>
  <si>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</si>
  <si>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</si>
  <si>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</si>
  <si>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</si>
  <si>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</si>
  <si>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</si>
  <si>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</si>
  <si>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</si>
  <si>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</si>
  <si>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</si>
  <si>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</si>
  <si>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</si>
  <si>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</si>
  <si>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</si>
  <si>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</si>
  <si>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</si>
  <si>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</si>
  <si>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</si>
  <si>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</si>
  <si>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</si>
  <si>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</si>
  <si>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</si>
  <si>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</si>
  <si>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</si>
  <si>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</si>
  <si>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</si>
  <si>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</si>
  <si>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</si>
  <si>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</si>
  <si>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</si>
  <si>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</si>
  <si>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</si>
  <si>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</si>
  <si>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</si>
  <si>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</si>
  <si>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</si>
  <si>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</si>
  <si>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</si>
  <si>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</si>
  <si>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</si>
  <si>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</si>
  <si>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</si>
  <si>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</si>
  <si>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</si>
  <si>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</si>
  <si>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</si>
  <si>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</si>
  <si>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</si>
  <si>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</si>
  <si>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</si>
  <si>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</si>
  <si>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</si>
  <si>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</si>
  <si>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</si>
  <si>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</si>
  <si>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</si>
  <si>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</si>
  <si>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</si>
  <si>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</si>
  <si>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</si>
  <si>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</si>
  <si>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</si>
  <si>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</si>
  <si>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</si>
  <si>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</si>
  <si>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</si>
  <si>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</si>
  <si>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</si>
  <si>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</si>
  <si>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</si>
  <si>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</si>
  <si>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</si>
  <si>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</si>
  <si>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</si>
  <si>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</si>
  <si>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</si>
  <si>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</si>
  <si>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</si>
  <si>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</si>
  <si>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</si>
  <si>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</si>
  <si>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</si>
  <si>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</si>
  <si>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</si>
  <si>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</si>
  <si>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</si>
  <si>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</si>
  <si>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</si>
  <si>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</si>
  <si>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</si>
  <si>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</si>
  <si>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</si>
  <si>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</si>
  <si>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</si>
  <si>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</si>
  <si>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</si>
  <si>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</si>
  <si>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</si>
  <si>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</si>
  <si>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</si>
  <si>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</si>
  <si>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</si>
  <si>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</si>
  <si>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</si>
  <si>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</si>
  <si>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</si>
  <si>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</si>
  <si>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</si>
  <si>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</si>
  <si>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</si>
  <si>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</si>
  <si>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</si>
  <si>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</si>
  <si>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</si>
  <si>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</si>
  <si>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</si>
  <si>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</si>
  <si>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</si>
  <si>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</si>
  <si>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</si>
  <si>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</si>
  <si>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</si>
  <si>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</si>
  <si>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</si>
  <si>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</si>
  <si>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</si>
  <si>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</si>
  <si>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</si>
  <si>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</si>
  <si>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</si>
  <si>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</si>
  <si>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</si>
  <si>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</si>
  <si>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</si>
  <si>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</si>
  <si>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</si>
  <si>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</si>
  <si>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</si>
  <si>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</si>
  <si>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</si>
  <si>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</si>
  <si>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</si>
  <si>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</si>
  <si>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</si>
  <si>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</si>
  <si>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</si>
  <si>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</si>
  <si>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</si>
  <si>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</si>
  <si>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</si>
  <si>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</si>
  <si>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</si>
  <si>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</si>
  <si>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</si>
  <si>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</si>
  <si>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</si>
  <si>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</si>
  <si>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</si>
  <si>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</si>
  <si>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</si>
  <si>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</si>
  <si>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</si>
  <si>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</si>
  <si>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</si>
  <si>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</si>
  <si>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</si>
  <si>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</si>
  <si>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</si>
  <si>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</si>
  <si>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</si>
  <si>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</si>
  <si>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</si>
  <si>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</si>
  <si>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</si>
  <si>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</si>
  <si>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</si>
  <si>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</si>
  <si>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</si>
  <si>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</si>
  <si>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</si>
  <si>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</si>
  <si>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</si>
  <si>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</si>
  <si>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</si>
  <si>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</si>
  <si>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</si>
  <si>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</si>
  <si>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</si>
  <si>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</si>
  <si>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</si>
  <si>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</si>
  <si>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</si>
  <si>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</si>
  <si>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</si>
  <si>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</si>
  <si>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</si>
  <si>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</si>
  <si>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</si>
  <si>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</si>
  <si>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</si>
  <si>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</si>
  <si>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</si>
  <si>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</si>
  <si>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</si>
  <si>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</si>
  <si>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</si>
  <si>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</si>
  <si>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</si>
  <si>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</si>
  <si>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</si>
  <si>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</si>
  <si>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</si>
  <si>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</si>
  <si>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</si>
  <si>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</si>
  <si>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</si>
  <si>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</si>
  <si>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</si>
  <si>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</si>
  <si>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</si>
  <si>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</si>
  <si>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</si>
  <si>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</si>
  <si>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</si>
  <si>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</si>
  <si>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</si>
  <si>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</si>
  <si>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</si>
  <si>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</si>
  <si>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</si>
  <si>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</si>
  <si>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</si>
  <si>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</si>
  <si>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</si>
  <si>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</si>
  <si>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</si>
  <si>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</si>
  <si>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</si>
  <si>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</si>
  <si>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</si>
  <si>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</si>
  <si>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</si>
  <si>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</si>
  <si>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</si>
  <si>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</si>
  <si>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</si>
  <si>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</si>
  <si>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</si>
  <si>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</si>
  <si>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</si>
  <si>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</si>
  <si>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</si>
  <si>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</si>
  <si>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</si>
  <si>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</si>
  <si>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</si>
  <si>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</si>
  <si>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</si>
  <si>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</si>
  <si>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</si>
  <si>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</si>
  <si>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</si>
  <si>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</si>
  <si>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</si>
  <si>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</si>
  <si>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</si>
  <si>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</si>
  <si>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</si>
  <si>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</si>
  <si>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</si>
  <si>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</si>
  <si>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</si>
  <si>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</si>
  <si>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</si>
  <si>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</si>
  <si>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</si>
  <si>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</si>
  <si>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</si>
  <si>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</si>
  <si>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</si>
  <si>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</si>
  <si>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</si>
  <si>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</si>
  <si>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</si>
  <si>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</si>
  <si>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</si>
  <si>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</si>
  <si>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</si>
  <si>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</si>
  <si>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</si>
  <si>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</si>
  <si>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</si>
  <si>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</si>
  <si>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</si>
  <si>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</si>
  <si>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</si>
  <si>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</si>
  <si>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</si>
  <si>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</si>
  <si>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</si>
  <si>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</si>
  <si>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</si>
  <si>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</si>
  <si>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</si>
  <si>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</si>
  <si>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</si>
  <si>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</si>
  <si>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</si>
  <si>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</si>
  <si>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</si>
  <si>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</si>
  <si>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</si>
  <si>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</si>
  <si>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</si>
  <si>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</si>
  <si>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</si>
  <si>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</si>
  <si>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</si>
  <si>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</si>
  <si>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</si>
  <si>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</si>
  <si>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</si>
  <si>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</si>
  <si>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</si>
  <si>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</si>
  <si>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</si>
  <si>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</si>
  <si>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</si>
  <si>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</si>
  <si>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</si>
  <si>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</si>
  <si>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</si>
  <si>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</si>
  <si>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</si>
  <si>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</si>
  <si>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</si>
  <si>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</si>
  <si>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</si>
  <si>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</si>
  <si>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</si>
  <si>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</si>
  <si>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</si>
  <si>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</si>
  <si>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</si>
  <si>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</si>
  <si>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</si>
  <si>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</si>
  <si>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</si>
  <si>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</si>
  <si>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</si>
  <si>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</si>
  <si>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</si>
  <si>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</si>
  <si>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</si>
  <si>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</si>
  <si>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</si>
  <si>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</si>
  <si>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</si>
  <si>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</si>
  <si>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</si>
  <si>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</si>
  <si>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</si>
  <si>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</si>
  <si>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</si>
  <si>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</si>
  <si>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</si>
  <si>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</si>
  <si>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</si>
  <si>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</si>
  <si>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</si>
  <si>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</si>
  <si>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</si>
  <si>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</si>
  <si>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</si>
  <si>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</si>
  <si>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</si>
  <si>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</si>
  <si>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</si>
  <si>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</si>
  <si>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</si>
  <si>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</si>
  <si>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</si>
  <si>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</si>
  <si>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</si>
  <si>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</si>
  <si>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</si>
  <si>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</si>
  <si>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</si>
  <si>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</si>
  <si>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</si>
  <si>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</si>
  <si>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</si>
  <si>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</si>
  <si>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</si>
  <si>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</si>
  <si>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</si>
  <si>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</si>
  <si>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</si>
  <si>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</si>
  <si>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</si>
  <si>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</si>
  <si>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</si>
  <si>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</si>
  <si>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</si>
  <si>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</si>
  <si>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</si>
  <si>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</si>
  <si>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</si>
  <si>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</si>
  <si>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</si>
  <si>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</si>
  <si>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</si>
  <si>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</si>
  <si>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</si>
  <si>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</si>
  <si>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</si>
  <si>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</si>
  <si>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</si>
  <si>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</si>
  <si>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</si>
  <si>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</si>
  <si>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</si>
  <si>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</si>
  <si>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</si>
  <si>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</si>
  <si>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</si>
  <si>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</si>
  <si>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</si>
  <si>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</si>
  <si>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</si>
  <si>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</si>
  <si>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</si>
  <si>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</si>
  <si>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</si>
  <si>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</si>
  <si>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</si>
  <si>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</si>
  <si>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</si>
  <si>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</si>
  <si>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</si>
  <si>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</si>
  <si>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</si>
  <si>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</si>
  <si>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</si>
  <si>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</si>
  <si>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</si>
  <si>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</si>
  <si>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</si>
  <si>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</si>
  <si>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</si>
  <si>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</si>
  <si>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</si>
  <si>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</si>
  <si>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</si>
  <si>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</si>
  <si>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</si>
  <si>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</si>
  <si>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</si>
  <si>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</si>
  <si>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</si>
  <si>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</si>
  <si>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</si>
  <si>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</si>
  <si>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</si>
  <si>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</si>
  <si>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</si>
  <si>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</si>
  <si>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</si>
  <si>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</si>
  <si>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</si>
  <si>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</si>
  <si>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</si>
  <si>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</si>
  <si>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</si>
  <si>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</si>
  <si>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</si>
  <si>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</si>
  <si>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</si>
  <si>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</si>
  <si>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</si>
  <si>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</si>
  <si>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</si>
  <si>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</si>
  <si>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</si>
  <si>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</si>
  <si>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</si>
  <si>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</si>
  <si>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</si>
  <si>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</si>
  <si>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</si>
  <si>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</si>
  <si>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</si>
  <si>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</si>
  <si>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</si>
  <si>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</si>
  <si>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</si>
  <si>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</si>
  <si>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</si>
  <si>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</si>
  <si>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</si>
  <si>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</si>
  <si>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</si>
  <si>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</si>
  <si>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</si>
  <si>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</si>
  <si>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</si>
  <si>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</si>
  <si>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</si>
  <si>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</si>
  <si>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</si>
  <si>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</si>
  <si>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</si>
  <si>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</si>
  <si>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</si>
  <si>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</si>
  <si>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</si>
  <si>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</si>
  <si>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</si>
  <si>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</si>
  <si>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</si>
  <si>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</si>
  <si>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</si>
  <si>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</si>
  <si>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</si>
  <si>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</si>
  <si>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</si>
  <si>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</si>
  <si>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</si>
  <si>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</si>
  <si>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</si>
  <si>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</si>
  <si>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</si>
  <si>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</si>
  <si>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</si>
  <si>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</si>
  <si>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</si>
  <si>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</si>
  <si>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</si>
  <si>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</si>
  <si>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</si>
  <si>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</si>
  <si>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</si>
  <si>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</si>
  <si>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</si>
  <si>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</si>
  <si>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</si>
  <si>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</si>
  <si>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</si>
  <si>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</si>
  <si>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</si>
  <si>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</si>
  <si>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</si>
  <si>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</si>
  <si>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</si>
  <si>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</si>
  <si>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</si>
  <si>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</si>
  <si>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</si>
  <si>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</si>
  <si>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</si>
  <si>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</si>
  <si>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</si>
  <si>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</si>
  <si>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</si>
  <si>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</si>
  <si>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</si>
  <si>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</si>
  <si>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</si>
  <si>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</si>
  <si>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</si>
  <si>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</si>
  <si>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</si>
  <si>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</si>
  <si>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</si>
  <si>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</si>
  <si>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</si>
  <si>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</si>
  <si>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</si>
  <si>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</si>
  <si>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</si>
  <si>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</si>
  <si>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</si>
  <si>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</si>
  <si>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</si>
  <si>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</si>
  <si>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</si>
  <si>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</si>
  <si>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</si>
  <si>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</si>
  <si>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</si>
  <si>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</si>
  <si>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</si>
  <si>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</si>
  <si>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</si>
  <si>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</si>
  <si>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</si>
  <si>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</si>
  <si>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</si>
  <si>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</si>
  <si>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</si>
  <si>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</si>
  <si>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</si>
  <si>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</si>
  <si>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</si>
  <si>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</si>
  <si>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</si>
  <si>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</si>
  <si>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</si>
  <si>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</si>
  <si>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</si>
  <si>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</si>
  <si>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</si>
  <si>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</si>
  <si>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</si>
  <si>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</si>
  <si>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</si>
  <si>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</si>
  <si>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</si>
  <si>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</si>
  <si>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</si>
  <si>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</si>
  <si>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</si>
  <si>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</si>
  <si>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</si>
  <si>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</si>
  <si>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</si>
  <si>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</si>
  <si>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</si>
  <si>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</si>
  <si>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</si>
  <si>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</si>
  <si>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</si>
  <si>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</si>
  <si>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</si>
  <si>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</si>
  <si>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</si>
  <si>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</si>
  <si>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</si>
  <si>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</si>
  <si>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</si>
  <si>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</si>
  <si>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</si>
  <si>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</si>
  <si>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</si>
  <si>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</si>
  <si>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</si>
  <si>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</si>
  <si>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</si>
  <si>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</si>
  <si>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</si>
  <si>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</si>
  <si>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</si>
  <si>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</si>
  <si>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</si>
  <si>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</si>
  <si>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</si>
  <si>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</si>
  <si>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</si>
  <si>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</si>
  <si>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</si>
  <si>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</si>
  <si>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</si>
  <si>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</si>
  <si>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</si>
  <si>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</si>
  <si>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</si>
  <si>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</si>
  <si>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</si>
  <si>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</si>
  <si>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</si>
  <si>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</si>
  <si>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</si>
  <si>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</si>
  <si>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</si>
  <si>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</si>
  <si>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</si>
  <si>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</si>
  <si>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</si>
  <si>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</si>
  <si>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</si>
  <si>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</si>
  <si>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</si>
  <si>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</si>
  <si>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</si>
  <si>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</si>
  <si>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</si>
  <si>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</si>
  <si>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</si>
  <si>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</si>
  <si>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</si>
  <si>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</si>
  <si>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</si>
  <si>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</si>
  <si>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</si>
  <si>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</si>
  <si>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</si>
  <si>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</si>
  <si>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</si>
  <si>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</si>
  <si>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</si>
  <si>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</si>
  <si>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</si>
  <si>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</si>
  <si>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</si>
  <si>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</si>
  <si>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</si>
  <si>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</si>
  <si>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</si>
  <si>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</si>
  <si>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</si>
  <si>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</si>
  <si>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</si>
  <si>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</si>
  <si>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</si>
  <si>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</si>
  <si>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</si>
  <si>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</si>
  <si>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</si>
  <si>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</si>
  <si>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</si>
  <si>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</si>
  <si>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</si>
  <si>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</si>
  <si>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</si>
  <si>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</si>
  <si>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</si>
  <si>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</si>
  <si>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</si>
  <si>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</si>
  <si>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</si>
  <si>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</si>
  <si>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</si>
  <si>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</si>
  <si>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</si>
  <si>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</si>
  <si>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</si>
  <si>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</si>
  <si>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</si>
  <si>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</si>
  <si>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</si>
  <si>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</si>
  <si>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</si>
  <si>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</si>
  <si>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</si>
  <si>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</si>
  <si>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</si>
  <si>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</si>
  <si>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</si>
  <si>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</si>
  <si>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</si>
  <si>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</si>
  <si>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</si>
  <si>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</si>
  <si>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</si>
  <si>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</si>
  <si>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</si>
  <si>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</si>
  <si>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</si>
  <si>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</si>
  <si>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</si>
  <si>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</si>
  <si>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</si>
  <si>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</si>
  <si>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</si>
  <si>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</si>
  <si>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</si>
  <si>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</si>
  <si>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</si>
  <si>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</si>
  <si>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</si>
  <si>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</si>
  <si>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</si>
  <si>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</si>
  <si>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</si>
  <si>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</si>
  <si>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</si>
  <si>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</si>
  <si>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</si>
  <si>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</si>
  <si>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</si>
  <si>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</si>
  <si>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</si>
  <si>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</si>
  <si>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</si>
  <si>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</si>
  <si>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</si>
  <si>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</si>
  <si>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</si>
  <si>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</si>
  <si>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</si>
  <si>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</si>
  <si>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</si>
  <si>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</si>
  <si>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</si>
  <si>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</si>
  <si>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</si>
  <si>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</si>
  <si>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</si>
  <si>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</si>
  <si>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</si>
  <si>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</si>
  <si>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</si>
  <si>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</si>
  <si>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</si>
  <si>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</si>
  <si>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</si>
  <si>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</si>
  <si>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</si>
  <si>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</si>
  <si>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</si>
  <si>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</si>
  <si>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</si>
  <si>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</si>
  <si>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</si>
  <si>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</si>
  <si>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</si>
  <si>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</si>
  <si>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</si>
  <si>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</si>
  <si>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</si>
  <si>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</si>
  <si>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</si>
  <si>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</si>
  <si>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</si>
  <si>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</si>
  <si>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</si>
  <si>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</si>
  <si>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</si>
  <si>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</si>
  <si>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</si>
  <si>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</si>
  <si>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</si>
  <si>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</si>
  <si>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</si>
  <si>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</si>
  <si>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</si>
  <si>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</si>
  <si>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</si>
  <si>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</si>
  <si>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</si>
  <si>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</si>
  <si>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</si>
  <si>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</si>
  <si>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</si>
  <si>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</si>
  <si>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</si>
  <si>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</si>
  <si>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</si>
  <si>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</si>
  <si>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</si>
  <si>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</si>
  <si>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</si>
  <si>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</si>
  <si>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</si>
  <si>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</si>
  <si>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</si>
  <si>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</si>
  <si>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</si>
  <si>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</si>
  <si>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</si>
  <si>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</si>
  <si>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</si>
  <si>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</si>
  <si>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</si>
  <si>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</si>
  <si>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</si>
  <si>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</si>
  <si>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</si>
  <si>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</si>
  <si>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</si>
  <si>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</si>
  <si>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</si>
  <si>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</si>
  <si>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</si>
  <si>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</si>
  <si>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</si>
  <si>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</si>
  <si>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</si>
  <si>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</si>
  <si>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</si>
  <si>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</si>
  <si>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</si>
  <si>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</si>
  <si>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</si>
  <si>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</si>
  <si>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</si>
  <si>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</si>
  <si>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</si>
  <si>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</si>
  <si>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</si>
  <si>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</si>
  <si>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</si>
  <si>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</si>
  <si>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</si>
  <si>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</si>
  <si>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</si>
  <si>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</si>
  <si>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</si>
  <si>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</si>
  <si>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</si>
  <si>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</si>
  <si>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</si>
  <si>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</si>
  <si>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</si>
  <si>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</si>
  <si>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</si>
  <si>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</si>
  <si>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</si>
  <si>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</si>
  <si>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</si>
  <si>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</si>
  <si>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</si>
  <si>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</si>
  <si>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</si>
  <si>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</si>
  <si>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</si>
  <si>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</si>
  <si>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</si>
  <si>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</si>
  <si>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</si>
  <si>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</si>
  <si>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</si>
  <si>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</si>
  <si>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</si>
  <si>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</si>
  <si>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</si>
  <si>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</si>
  <si>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</si>
  <si>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</si>
  <si>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</si>
  <si>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</si>
  <si>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</si>
  <si>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</si>
  <si>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</si>
  <si>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</si>
  <si>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</si>
  <si>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</si>
  <si>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</si>
  <si>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</si>
  <si>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</si>
  <si>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</si>
  <si>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</si>
  <si>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</si>
  <si>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</si>
  <si>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</si>
  <si>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</si>
  <si>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</si>
  <si>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</si>
  <si>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</si>
  <si>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</si>
  <si>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</si>
  <si>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</si>
  <si>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</si>
  <si>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</si>
  <si>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</si>
  <si>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</si>
  <si>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</si>
  <si>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</si>
  <si>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</si>
  <si>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</si>
  <si>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</si>
  <si>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</si>
  <si>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</si>
  <si>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</si>
  <si>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</si>
  <si>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</si>
  <si>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</si>
  <si>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</si>
  <si>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</si>
  <si>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</si>
  <si>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</si>
  <si>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</si>
  <si>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</si>
  <si>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</si>
  <si>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</si>
  <si>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</si>
  <si>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</si>
  <si>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</si>
  <si>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</si>
  <si>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</si>
  <si>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</si>
  <si>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</si>
  <si>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</si>
  <si>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</si>
  <si>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</si>
  <si>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</si>
  <si>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</si>
  <si>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</si>
  <si>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</si>
  <si>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</si>
  <si>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</si>
  <si>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</si>
  <si>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</si>
  <si>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</si>
  <si>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</si>
  <si>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</si>
  <si>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</si>
  <si>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</si>
  <si>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</si>
  <si>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</si>
  <si>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</si>
  <si>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</si>
  <si>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</si>
  <si>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</si>
  <si>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</si>
  <si>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</si>
  <si>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</si>
  <si>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</si>
  <si>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</si>
  <si>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</si>
  <si>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</si>
  <si>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</si>
  <si>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</si>
  <si>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</si>
  <si>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</si>
  <si>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</si>
  <si>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</si>
  <si>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</si>
  <si>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</si>
  <si>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</si>
  <si>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</si>
  <si>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</si>
  <si>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</si>
  <si>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</si>
  <si>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</si>
  <si>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</si>
  <si>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</si>
  <si>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</si>
  <si>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</si>
  <si>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</si>
  <si>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</si>
  <si>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</si>
  <si>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</si>
  <si>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</si>
  <si>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</si>
  <si>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</si>
  <si>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</si>
  <si>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</si>
  <si>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</si>
  <si>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</si>
  <si>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</si>
  <si>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</si>
  <si>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</si>
  <si>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</si>
  <si>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</si>
  <si>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</si>
  <si>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</si>
  <si>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</si>
  <si>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</si>
  <si>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</si>
  <si>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</si>
  <si>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</si>
  <si>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</si>
  <si>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</si>
  <si>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</si>
  <si>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</si>
  <si>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</si>
  <si>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</si>
  <si>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</si>
  <si>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</si>
  <si>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</si>
  <si>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</si>
  <si>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</si>
  <si>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</si>
  <si>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</si>
  <si>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</si>
  <si>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</si>
  <si>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</si>
  <si>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</si>
  <si>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</si>
  <si>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</si>
  <si>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</si>
  <si>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</si>
  <si>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</si>
  <si>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</si>
  <si>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</si>
  <si>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</si>
  <si>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</si>
  <si>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</si>
  <si>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</si>
  <si>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</si>
  <si>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</si>
  <si>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</si>
  <si>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</si>
  <si>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</si>
  <si>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</si>
  <si>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</si>
  <si>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</si>
  <si>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</si>
  <si>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</si>
  <si>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</si>
  <si>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</si>
  <si>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</si>
  <si>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</si>
  <si>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</si>
  <si>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</si>
  <si>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</si>
  <si>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</si>
  <si>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</si>
  <si>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</si>
  <si>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</si>
  <si>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</si>
  <si>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</si>
  <si>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</si>
  <si>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</si>
  <si>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</si>
  <si>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</si>
  <si>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</si>
  <si>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</si>
  <si>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</si>
  <si>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</si>
  <si>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</si>
  <si>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</si>
  <si>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</si>
  <si>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</si>
  <si>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</si>
  <si>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</si>
  <si>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</si>
  <si>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</si>
  <si>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</si>
  <si>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</si>
  <si>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</si>
  <si>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</si>
  <si>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</si>
  <si>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</si>
  <si>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</si>
  <si>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</si>
  <si>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</si>
  <si>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</si>
  <si>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</si>
  <si>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</si>
  <si>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</si>
  <si>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</si>
  <si>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</si>
  <si>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</si>
  <si>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</si>
  <si>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</si>
  <si>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</si>
  <si>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</si>
  <si>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</si>
  <si>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</si>
  <si>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</si>
  <si>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</si>
  <si>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</si>
  <si>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</si>
  <si>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</si>
  <si>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</si>
  <si>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</si>
  <si>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</si>
  <si>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</si>
  <si>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</si>
  <si>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</si>
  <si>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</si>
  <si>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</si>
  <si>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</si>
  <si>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</si>
  <si>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</si>
  <si>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</si>
  <si>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</si>
  <si>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</si>
  <si>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</si>
  <si>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</si>
  <si>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</si>
  <si>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</si>
  <si>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</si>
  <si>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</si>
  <si>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</si>
  <si>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</si>
  <si>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</si>
  <si>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</si>
  <si>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</si>
  <si>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</si>
  <si>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</si>
  <si>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</si>
  <si>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</si>
  <si>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</si>
  <si>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</si>
  <si>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</si>
  <si>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</si>
  <si>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</si>
  <si>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</si>
  <si>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</si>
  <si>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</si>
  <si>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</si>
  <si>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</si>
  <si>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</si>
  <si>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</si>
  <si>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</si>
  <si>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</si>
  <si>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</si>
  <si>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</si>
  <si>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</si>
  <si>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</si>
  <si>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</si>
  <si>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</si>
  <si>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</si>
  <si>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</si>
  <si>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</si>
  <si>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</si>
  <si>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</si>
  <si>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</si>
  <si>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</si>
  <si>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</si>
  <si>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</si>
  <si>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</si>
  <si>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</si>
  <si>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</si>
  <si>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</si>
  <si>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</si>
  <si>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</si>
  <si>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</si>
  <si>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</si>
  <si>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</si>
  <si>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</si>
  <si>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</si>
  <si>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</si>
  <si>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</si>
  <si>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</si>
  <si>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</si>
  <si>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</si>
  <si>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</si>
  <si>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</si>
  <si>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</si>
  <si>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</si>
  <si>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</si>
  <si>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</si>
  <si>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</si>
  <si>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</si>
  <si>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</si>
  <si>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</si>
  <si>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</si>
  <si>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</si>
  <si>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</si>
  <si>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</si>
  <si>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</si>
  <si>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</si>
  <si>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</si>
  <si>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</si>
  <si>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</si>
  <si>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</si>
  <si>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</si>
  <si>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</si>
  <si>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</si>
  <si>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</si>
  <si>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</si>
  <si>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</si>
  <si>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</si>
  <si>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</si>
  <si>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</si>
  <si>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</si>
  <si>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</si>
  <si>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</si>
  <si>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</si>
  <si>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</si>
  <si>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</si>
  <si>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</si>
  <si>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</si>
  <si>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</si>
  <si>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</si>
  <si>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</si>
  <si>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</si>
  <si>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</si>
  <si>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</si>
  <si>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</si>
  <si>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</si>
  <si>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</si>
  <si>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</si>
  <si>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</si>
  <si>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</si>
  <si>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</si>
  <si>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</si>
  <si>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</si>
  <si>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</si>
  <si>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</si>
  <si>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</si>
  <si>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</si>
  <si>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</si>
  <si>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</si>
  <si>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</si>
  <si>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</si>
  <si>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</si>
  <si>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</si>
  <si>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</si>
  <si>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</si>
  <si>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</si>
  <si>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</si>
  <si>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</si>
  <si>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</si>
  <si>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</si>
  <si>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</si>
  <si>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</si>
  <si>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</si>
  <si>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</si>
  <si>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</si>
  <si>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</si>
  <si>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</si>
  <si>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</si>
  <si>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</si>
  <si>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</si>
  <si>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</si>
  <si>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</si>
  <si>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</si>
  <si>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</si>
  <si>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</si>
  <si>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</si>
  <si>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</si>
  <si>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</si>
  <si>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</si>
  <si>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</si>
  <si>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</si>
  <si>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</si>
  <si>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</si>
  <si>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</si>
  <si>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</si>
  <si>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</si>
  <si>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</si>
  <si>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</si>
  <si>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</si>
  <si>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</si>
  <si>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</si>
  <si>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</si>
  <si>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</si>
  <si>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</si>
  <si>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</si>
  <si>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</si>
  <si>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</si>
  <si>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</si>
  <si>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</si>
  <si>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</si>
  <si>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</si>
  <si>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</si>
  <si>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</si>
  <si>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</si>
  <si>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</si>
  <si>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</si>
  <si>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</si>
  <si>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</si>
  <si>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</si>
  <si>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</si>
  <si>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</si>
  <si>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</si>
  <si>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</si>
  <si>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</si>
  <si>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</si>
  <si>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</si>
  <si>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</si>
  <si>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</si>
  <si>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</si>
  <si>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</si>
  <si>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</si>
  <si>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</si>
  <si>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</si>
  <si>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</si>
  <si>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</si>
  <si>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</si>
  <si>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</si>
  <si>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</si>
  <si>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</si>
  <si>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</si>
  <si>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</si>
  <si>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</si>
  <si>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</si>
  <si>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</si>
  <si>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</si>
  <si>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</si>
  <si>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</si>
  <si>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</si>
  <si>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</si>
  <si>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</si>
  <si>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</si>
  <si>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</si>
  <si>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</si>
  <si>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</si>
  <si>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</si>
  <si>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</si>
  <si>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</si>
  <si>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</si>
  <si>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</si>
  <si>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</si>
  <si>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</si>
  <si>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</si>
  <si>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</si>
  <si>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</si>
  <si>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</si>
  <si>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</si>
  <si>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</si>
  <si>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</si>
  <si>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</si>
  <si>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</si>
  <si>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</si>
  <si>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</si>
  <si>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</si>
  <si>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</si>
  <si>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</si>
  <si>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</si>
  <si>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</si>
  <si>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</si>
  <si>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</si>
  <si>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</si>
  <si>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</si>
  <si>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</si>
  <si>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</si>
  <si>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</si>
  <si>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</si>
  <si>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</si>
  <si>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</si>
  <si>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</si>
  <si>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</si>
  <si>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</si>
  <si>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</si>
  <si>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</si>
  <si>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</si>
  <si>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</si>
  <si>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</si>
  <si>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</si>
  <si>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</si>
  <si>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</si>
  <si>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</si>
  <si>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</si>
  <si>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</si>
  <si>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</si>
  <si>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</si>
  <si>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</si>
  <si>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</si>
  <si>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</si>
  <si>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</si>
  <si>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</si>
  <si>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</si>
  <si>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</si>
  <si>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</si>
  <si>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</si>
  <si>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</si>
  <si>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</si>
  <si>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</si>
  <si>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</si>
  <si>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</si>
  <si>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</si>
  <si>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</si>
  <si>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</si>
  <si>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</si>
  <si>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</si>
  <si>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</si>
  <si>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</si>
  <si>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</si>
  <si>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</si>
  <si>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</si>
  <si>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</si>
  <si>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</si>
  <si>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</si>
  <si>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</si>
  <si>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</si>
  <si>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</si>
  <si>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</si>
  <si>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</si>
  <si>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</si>
  <si>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</si>
  <si>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</si>
  <si>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</si>
  <si>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</si>
  <si>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</si>
  <si>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</si>
  <si>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</si>
  <si>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</si>
  <si>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</si>
  <si>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</si>
  <si>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</si>
  <si>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</si>
  <si>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</si>
  <si>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</si>
  <si>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</si>
  <si>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</si>
  <si>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</si>
  <si>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</si>
  <si>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</si>
  <si>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</si>
  <si>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</si>
  <si>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</si>
  <si>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</si>
  <si>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</si>
  <si>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</si>
  <si>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</si>
  <si>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</si>
  <si>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</si>
  <si>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</si>
  <si>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</si>
  <si>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</si>
  <si>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</si>
  <si>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</si>
  <si>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</si>
  <si>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</si>
  <si>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</si>
  <si>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</si>
  <si>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</si>
  <si>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</si>
  <si>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</si>
  <si>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</si>
  <si>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</si>
  <si>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</si>
  <si>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</si>
  <si>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</si>
  <si>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</si>
  <si>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</si>
  <si>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</si>
  <si>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</si>
  <si>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</si>
  <si>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</si>
  <si>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</si>
  <si>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</si>
  <si>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</si>
  <si>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</si>
  <si>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</si>
  <si>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</si>
  <si>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</si>
  <si>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</si>
  <si>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</si>
  <si>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</si>
  <si>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</si>
  <si>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</si>
  <si>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</si>
  <si>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</si>
  <si>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</si>
  <si>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</si>
  <si>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</si>
  <si>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</si>
  <si>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</si>
  <si>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</si>
  <si>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</si>
  <si>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</si>
  <si>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</si>
  <si>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</si>
  <si>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</si>
  <si>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</si>
  <si>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</si>
  <si>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</si>
  <si>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</si>
  <si>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</si>
  <si>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</si>
  <si>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</si>
  <si>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</si>
  <si>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</si>
  <si>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</si>
  <si>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</si>
  <si>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</si>
  <si>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</si>
  <si>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</si>
  <si>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</si>
  <si>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</si>
  <si>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</si>
  <si>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</si>
  <si>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</si>
  <si>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</si>
  <si>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</si>
  <si>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</si>
  <si>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</si>
  <si>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</si>
  <si>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</si>
  <si>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</si>
  <si>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</si>
  <si>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</si>
  <si>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</si>
  <si>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</si>
  <si>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</si>
  <si>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</si>
  <si>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</si>
  <si>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</si>
  <si>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</si>
  <si>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</si>
  <si>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</si>
  <si>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</si>
  <si>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</si>
  <si>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</si>
  <si>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</si>
  <si>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</si>
  <si>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</si>
  <si>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</si>
  <si>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</si>
  <si>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</si>
  <si>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</si>
  <si>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</si>
  <si>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</si>
  <si>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</si>
  <si>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</si>
  <si>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</si>
  <si>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</si>
  <si>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</si>
  <si>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</si>
  <si>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</si>
  <si>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</si>
  <si>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</si>
  <si>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</si>
  <si>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</si>
  <si>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</si>
  <si>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</si>
  <si>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</si>
  <si>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</si>
  <si>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</si>
  <si>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</si>
  <si>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</si>
  <si>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</si>
  <si>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</si>
  <si>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</si>
  <si>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</si>
  <si>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</si>
  <si>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</si>
  <si>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</si>
  <si>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</si>
  <si>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</si>
  <si>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</si>
  <si>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</si>
  <si>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</si>
  <si>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</si>
  <si>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</si>
  <si>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</si>
  <si>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</si>
  <si>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</si>
  <si>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</si>
  <si>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</si>
  <si>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</si>
  <si>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</si>
  <si>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</si>
  <si>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</si>
  <si>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</si>
  <si>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</si>
  <si>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</si>
  <si>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</si>
  <si>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</si>
  <si>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</si>
  <si>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</si>
  <si>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</si>
  <si>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</si>
  <si>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</si>
  <si>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</si>
  <si>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</si>
  <si>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</si>
  <si>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</si>
  <si>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</si>
  <si>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</si>
  <si>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</si>
  <si>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</si>
  <si>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</si>
  <si>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</si>
  <si>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</si>
  <si>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</si>
  <si>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</si>
  <si>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</si>
  <si>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</si>
  <si>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</si>
  <si>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</si>
  <si>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</si>
  <si>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</si>
  <si>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</si>
  <si>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</si>
  <si>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</si>
  <si>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</si>
  <si>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</si>
  <si>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</si>
  <si>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</si>
  <si>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</si>
  <si>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</si>
  <si>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</si>
  <si>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</si>
  <si>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</si>
  <si>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</si>
  <si>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</si>
  <si>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</si>
  <si>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</si>
  <si>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</si>
  <si>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</si>
  <si>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</si>
  <si>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</si>
  <si>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</si>
  <si>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</si>
  <si>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</si>
  <si>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</si>
  <si>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</si>
  <si>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</si>
  <si>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</si>
  <si>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</si>
  <si>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</si>
  <si>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</si>
  <si>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</si>
  <si>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</si>
  <si>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</si>
  <si>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</si>
  <si>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</si>
  <si>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</si>
  <si>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</si>
  <si>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</si>
  <si>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</si>
  <si>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</si>
  <si>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</si>
  <si>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</si>
  <si>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</si>
  <si>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</si>
  <si>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</si>
  <si>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</si>
  <si>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</si>
  <si>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</si>
  <si>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</si>
  <si>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</si>
  <si>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</si>
  <si>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</si>
  <si>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</si>
  <si>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</si>
  <si>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</si>
  <si>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</si>
  <si>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</si>
  <si>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</si>
  <si>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</si>
  <si>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</si>
  <si>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</si>
  <si>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</si>
  <si>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</si>
  <si>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</si>
  <si>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</si>
  <si>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</si>
  <si>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</si>
  <si>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</si>
  <si>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</si>
  <si>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</si>
  <si>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</si>
  <si>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</si>
  <si>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</si>
  <si>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</si>
  <si>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</si>
  <si>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</si>
  <si>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</si>
  <si>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</si>
  <si>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</si>
  <si>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</si>
  <si>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</si>
  <si>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</si>
  <si>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</si>
  <si>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</si>
  <si>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</si>
  <si>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</si>
  <si>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</si>
  <si>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</si>
  <si>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</si>
  <si>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</si>
  <si>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</si>
  <si>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</si>
  <si>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</si>
  <si>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</si>
  <si>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</si>
  <si>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</si>
  <si>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</si>
  <si>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</si>
  <si>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</si>
  <si>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</si>
  <si>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</si>
  <si>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</si>
  <si>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</si>
  <si>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</si>
  <si>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</si>
  <si>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</si>
  <si>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</si>
  <si>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</si>
  <si>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</si>
  <si>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</si>
  <si>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</si>
  <si>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</si>
  <si>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</si>
  <si>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</si>
  <si>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</si>
  <si>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</si>
  <si>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</si>
  <si>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</si>
  <si>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</si>
  <si>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</si>
  <si>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</si>
  <si>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</si>
  <si>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</si>
  <si>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</si>
  <si>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</si>
  <si>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</si>
  <si>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</si>
  <si>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</si>
  <si>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</si>
  <si>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</si>
  <si>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</si>
  <si>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</si>
  <si>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</si>
  <si>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</si>
  <si>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</si>
  <si>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</si>
  <si>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</si>
  <si>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</si>
  <si>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</si>
  <si>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</si>
  <si>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</si>
  <si>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</si>
  <si>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</si>
  <si>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</si>
  <si>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</si>
  <si>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</si>
  <si>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</si>
  <si>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</si>
  <si>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</si>
  <si>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</si>
  <si>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</si>
  <si>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</si>
  <si>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</si>
  <si>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</si>
  <si>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</si>
  <si>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</si>
  <si>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</si>
  <si>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</si>
  <si>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</si>
  <si>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</si>
  <si>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</si>
  <si>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</si>
  <si>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</si>
  <si>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</si>
  <si>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</si>
  <si>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</si>
  <si>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</si>
  <si>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</si>
  <si>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</si>
  <si>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</si>
  <si>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</si>
  <si>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</si>
  <si>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</si>
  <si>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</si>
  <si>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</si>
  <si>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</si>
  <si>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</si>
  <si>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</si>
  <si>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</si>
  <si>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</si>
  <si>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</si>
  <si>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</si>
  <si>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</si>
  <si>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</si>
  <si>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</si>
  <si>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</si>
  <si>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</si>
  <si>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</si>
  <si>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</si>
  <si>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</si>
  <si>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</si>
  <si>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</si>
  <si>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</si>
  <si>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</si>
  <si>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</si>
  <si>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</si>
  <si>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</si>
  <si>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</si>
  <si>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</si>
  <si>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</si>
  <si>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</si>
  <si>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</si>
  <si>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</si>
  <si>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</si>
  <si>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</si>
  <si>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</si>
  <si>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</si>
  <si>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</si>
  <si>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</si>
  <si>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</si>
  <si>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</si>
  <si>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</si>
  <si>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</si>
  <si>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</si>
  <si>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</si>
  <si>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</si>
  <si>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</si>
  <si>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</si>
  <si>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</si>
  <si>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</si>
  <si>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</si>
  <si>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</si>
  <si>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</si>
  <si>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</si>
  <si>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</si>
  <si>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</si>
  <si>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</si>
  <si>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</si>
  <si>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</si>
  <si>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</si>
  <si>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</si>
  <si>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</si>
  <si>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</si>
  <si>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</si>
  <si>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</si>
  <si>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</si>
  <si>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</si>
  <si>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</si>
  <si>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</si>
  <si>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</si>
  <si>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</si>
  <si>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</si>
  <si>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</si>
  <si>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</si>
  <si>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</si>
  <si>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</si>
  <si>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</si>
  <si>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</si>
  <si>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</si>
  <si>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</si>
  <si>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</si>
  <si>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</si>
  <si>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</si>
  <si>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</si>
  <si>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</si>
  <si>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</si>
  <si>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</si>
  <si>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</si>
  <si>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</si>
  <si>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</si>
  <si>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</si>
  <si>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</si>
  <si>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</si>
  <si>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</si>
  <si>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</si>
  <si>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</si>
  <si>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</si>
  <si>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</si>
  <si>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</si>
  <si>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</si>
  <si>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</si>
  <si>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</si>
  <si>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</si>
  <si>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</si>
  <si>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</si>
  <si>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</si>
  <si>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</si>
  <si>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</si>
  <si>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</si>
  <si>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</si>
  <si>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</si>
  <si>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</si>
  <si>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</si>
  <si>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</si>
  <si>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</si>
  <si>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</si>
  <si>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</si>
  <si>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</si>
  <si>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</si>
  <si>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</si>
  <si>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</si>
  <si>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</si>
  <si>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</si>
  <si>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</si>
  <si>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</si>
  <si>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</si>
  <si>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</si>
  <si>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</si>
  <si>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</si>
  <si>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</si>
  <si>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</si>
  <si>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</si>
  <si>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</si>
  <si>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</si>
  <si>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</si>
  <si>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</si>
  <si>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</si>
  <si>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</si>
  <si>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</si>
  <si>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</si>
  <si>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</si>
  <si>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</si>
  <si>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</si>
  <si>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</si>
  <si>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</si>
  <si>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</si>
  <si>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</si>
  <si>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</si>
  <si>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</si>
  <si>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</si>
  <si>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</si>
  <si>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</si>
  <si>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</si>
  <si>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</si>
  <si>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</si>
  <si>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</si>
  <si>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</si>
  <si>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</si>
  <si>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</si>
  <si>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</si>
  <si>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</si>
  <si>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</si>
  <si>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</si>
  <si>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</si>
  <si>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</si>
  <si>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</si>
  <si>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</si>
  <si>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</si>
  <si>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</si>
  <si>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</si>
  <si>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</si>
  <si>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</si>
  <si>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</si>
  <si>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</si>
  <si>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</si>
  <si>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</si>
  <si>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</si>
  <si>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</si>
  <si>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</si>
  <si>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</si>
  <si>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</si>
  <si>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</si>
  <si>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</si>
  <si>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</si>
  <si>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</si>
  <si>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</si>
  <si>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</si>
  <si>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</si>
  <si>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</si>
  <si>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</si>
  <si>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</si>
  <si>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</si>
  <si>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</si>
  <si>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</si>
  <si>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</si>
  <si>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</si>
  <si>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</si>
  <si>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</si>
  <si>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</si>
  <si>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</si>
  <si>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</si>
  <si>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</si>
  <si>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</si>
  <si>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</si>
  <si>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</si>
  <si>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</si>
  <si>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</si>
  <si>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</si>
  <si>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</si>
  <si>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</si>
  <si>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</si>
  <si>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</si>
  <si>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</si>
  <si>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</si>
  <si>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</si>
  <si>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</si>
  <si>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</si>
  <si>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</si>
  <si>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</si>
  <si>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</si>
  <si>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</si>
  <si>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</si>
  <si>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</si>
  <si>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</si>
  <si>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</si>
  <si>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</si>
  <si>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</si>
  <si>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</si>
  <si>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</si>
  <si>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</si>
  <si>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</si>
  <si>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</si>
  <si>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</si>
  <si>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</si>
  <si>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</si>
  <si>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</si>
  <si>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</si>
  <si>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</si>
  <si>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</si>
  <si>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</si>
  <si>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</si>
  <si>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</si>
  <si>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</si>
  <si>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</si>
  <si>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</si>
  <si>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</si>
  <si>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</si>
  <si>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</si>
  <si>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</si>
  <si>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</si>
  <si>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</si>
  <si>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</si>
  <si>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</si>
  <si>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</si>
  <si>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</si>
  <si>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</si>
  <si>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</si>
  <si>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</si>
  <si>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</si>
  <si>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</si>
  <si>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</si>
  <si>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</si>
  <si>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</si>
  <si>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</si>
  <si>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</si>
  <si>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</si>
  <si>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</si>
  <si>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</si>
  <si>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</si>
  <si>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</si>
  <si>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</si>
  <si>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</si>
  <si>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</si>
  <si>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</si>
  <si>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</si>
  <si>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</si>
  <si>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</si>
  <si>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</si>
  <si>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</si>
  <si>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</si>
  <si>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</si>
  <si>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</si>
  <si>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</si>
  <si>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</si>
  <si>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</si>
  <si>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</si>
  <si>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</si>
  <si>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</si>
  <si>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</si>
  <si>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</si>
  <si>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</si>
  <si>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</si>
  <si>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</si>
  <si>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</si>
  <si>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</si>
  <si>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</si>
  <si>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</si>
  <si>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</si>
  <si>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</si>
  <si>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</si>
  <si>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</si>
  <si>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</si>
  <si>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</si>
  <si>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</si>
  <si>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</si>
  <si>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</si>
  <si>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</si>
  <si>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</si>
  <si>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</si>
  <si>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</si>
  <si>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</si>
  <si>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</si>
  <si>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</si>
  <si>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</si>
  <si>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</si>
  <si>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</si>
  <si>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</si>
  <si>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</si>
  <si>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</si>
  <si>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</si>
  <si>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</si>
  <si>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</si>
  <si>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</si>
  <si>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</si>
  <si>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</si>
  <si>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</si>
  <si>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</si>
  <si>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</si>
  <si>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</si>
  <si>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</si>
  <si>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</si>
  <si>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</si>
  <si>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</si>
  <si>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</si>
  <si>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</si>
  <si>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</si>
  <si>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</si>
  <si>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</si>
  <si>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</si>
  <si>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</si>
  <si>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</si>
  <si>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</si>
  <si>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</si>
  <si>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</si>
  <si>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</si>
  <si>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</si>
  <si>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</si>
  <si>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</si>
  <si>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</si>
  <si>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</si>
  <si>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</si>
  <si>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</si>
  <si>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</si>
  <si>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</si>
  <si>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</si>
  <si>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</si>
  <si>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</si>
  <si>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</si>
  <si>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</si>
  <si>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</si>
  <si>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</si>
  <si>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</si>
  <si>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</si>
  <si>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</si>
  <si>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</si>
  <si>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</si>
  <si>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</si>
  <si>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</si>
  <si>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</si>
  <si>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</si>
  <si>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</si>
  <si>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</si>
  <si>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</si>
  <si>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</si>
  <si>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</si>
  <si>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</si>
  <si>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</si>
  <si>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</si>
  <si>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</si>
  <si>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</si>
  <si>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</si>
  <si>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</si>
  <si>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</si>
  <si>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</si>
  <si>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</si>
  <si>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</si>
  <si>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</si>
  <si>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</si>
  <si>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</si>
  <si>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</si>
  <si>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</si>
  <si>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</si>
  <si>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</si>
  <si>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</si>
  <si>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</si>
  <si>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</si>
  <si>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</si>
  <si>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</si>
  <si>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</si>
  <si>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</si>
  <si>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</si>
  <si>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</si>
  <si>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</si>
  <si>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</si>
  <si>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</si>
  <si>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</si>
  <si>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</si>
  <si>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</si>
  <si>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</si>
  <si>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</si>
  <si>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</si>
  <si>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</si>
  <si>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</si>
  <si>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</si>
  <si>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</si>
  <si>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</si>
  <si>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</si>
  <si>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</si>
  <si>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</si>
  <si>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</si>
  <si>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</si>
  <si>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</si>
  <si>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</si>
  <si>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</si>
  <si>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</si>
  <si>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</si>
  <si>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</si>
  <si>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</si>
  <si>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</si>
  <si>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</si>
  <si>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</si>
  <si>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</si>
  <si>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</si>
  <si>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</si>
  <si>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</si>
  <si>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</si>
  <si>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</si>
  <si>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</si>
  <si>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</si>
  <si>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</si>
  <si>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</si>
  <si>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</si>
  <si>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</si>
  <si>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</si>
  <si>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</si>
  <si>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</si>
  <si>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</si>
  <si>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</si>
  <si>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</si>
  <si>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</si>
  <si>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</si>
  <si>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</si>
  <si>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</si>
  <si>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</si>
  <si>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</si>
  <si>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</si>
  <si>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</si>
  <si>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</si>
  <si>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</si>
  <si>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</si>
  <si>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</si>
  <si>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</si>
  <si>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</si>
  <si>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</si>
  <si>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</si>
  <si>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</si>
  <si>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</si>
  <si>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</si>
  <si>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</si>
  <si>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</si>
  <si>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</si>
  <si>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</si>
  <si>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</si>
  <si>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</si>
  <si>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</si>
  <si>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</si>
  <si>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</si>
  <si>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</si>
  <si>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</si>
  <si>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</si>
  <si>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</si>
  <si>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</si>
  <si>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</si>
  <si>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</si>
  <si>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</si>
  <si>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</si>
  <si>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</si>
  <si>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</si>
  <si>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</si>
  <si>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</si>
  <si>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</si>
  <si>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</si>
  <si>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</si>
  <si>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</si>
  <si>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</si>
  <si>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</si>
  <si>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</si>
  <si>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</si>
  <si>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</si>
  <si>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</si>
  <si>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</si>
  <si>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</si>
  <si>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</si>
  <si>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</si>
  <si>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</si>
  <si>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</si>
  <si>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</si>
  <si>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</si>
  <si>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</si>
  <si>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</si>
  <si>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</si>
  <si>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</si>
  <si>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</si>
  <si>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</si>
  <si>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</si>
  <si>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</si>
  <si>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</si>
  <si>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</si>
  <si>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</si>
  <si>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</si>
  <si>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</si>
  <si>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</si>
  <si>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</si>
  <si>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</si>
  <si>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</si>
  <si>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</si>
  <si>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</si>
  <si>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</si>
  <si>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</si>
  <si>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</si>
  <si>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</si>
  <si>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</si>
  <si>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</si>
  <si>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</si>
  <si>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</si>
  <si>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</si>
  <si>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</si>
  <si>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</si>
  <si>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</si>
  <si>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</si>
  <si>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</si>
  <si>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</si>
  <si>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</si>
  <si>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</si>
  <si>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</si>
  <si>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</si>
  <si>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</si>
  <si>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</si>
  <si>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</si>
  <si>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</si>
  <si>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</si>
  <si>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</si>
  <si>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</si>
  <si>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</si>
  <si>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</si>
  <si>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</si>
  <si>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</si>
  <si>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</si>
  <si>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</si>
  <si>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</si>
  <si>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</si>
  <si>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</si>
  <si>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</si>
  <si>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</si>
  <si>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</si>
  <si>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</si>
  <si>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</si>
  <si>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</si>
  <si>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</si>
  <si>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</si>
  <si>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</si>
  <si>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</si>
  <si>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</si>
  <si>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</si>
  <si>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</si>
  <si>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</si>
  <si>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</si>
  <si>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</si>
  <si>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</si>
  <si>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</si>
  <si>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</si>
  <si>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</si>
  <si>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</si>
  <si>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</si>
  <si>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</si>
  <si>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</si>
  <si>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</si>
  <si>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</si>
  <si>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</si>
  <si>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</si>
  <si>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</si>
  <si>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</si>
  <si>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</si>
  <si>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</si>
  <si>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</si>
  <si>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</si>
  <si>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</si>
  <si>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</si>
  <si>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</si>
  <si>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</si>
  <si>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</si>
  <si>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</si>
  <si>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</si>
  <si>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</si>
  <si>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</si>
  <si>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</si>
  <si>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</si>
  <si>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</si>
  <si>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</si>
  <si>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</si>
  <si>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</si>
  <si>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</si>
  <si>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</si>
  <si>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</si>
  <si>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</si>
  <si>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</si>
  <si>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</si>
  <si>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</si>
  <si>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</si>
  <si>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</si>
  <si>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</si>
  <si>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</si>
  <si>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</si>
  <si>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</si>
  <si>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</si>
  <si>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</si>
  <si>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</si>
  <si>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</si>
  <si>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</si>
  <si>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</si>
  <si>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</si>
  <si>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</si>
  <si>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</si>
  <si>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</si>
  <si>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</si>
  <si>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</si>
  <si>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</si>
  <si>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</si>
  <si>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</si>
  <si>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</si>
  <si>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</si>
  <si>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</si>
  <si>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</si>
  <si>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</si>
  <si>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</si>
  <si>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</si>
  <si>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</si>
  <si>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</si>
  <si>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</si>
  <si>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</si>
  <si>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</si>
  <si>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</si>
  <si>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</si>
  <si>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</si>
  <si>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</si>
  <si>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</si>
  <si>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</si>
  <si>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</si>
  <si>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</si>
  <si>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</si>
  <si>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</si>
  <si>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</si>
  <si>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</si>
  <si>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</si>
  <si>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</si>
  <si>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</si>
  <si>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</si>
  <si>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</si>
  <si>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</si>
  <si>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</si>
  <si>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</si>
  <si>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</si>
  <si>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</si>
  <si>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</si>
  <si>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</si>
  <si>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</si>
  <si>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</si>
  <si>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</si>
  <si>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</si>
  <si>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</si>
  <si>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</si>
  <si>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</si>
  <si>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</si>
  <si>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</si>
  <si>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</si>
  <si>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</si>
  <si>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</si>
  <si>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</si>
  <si>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</si>
  <si>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</si>
  <si>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</si>
  <si>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</si>
  <si>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</si>
  <si>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</si>
  <si>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</si>
  <si>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</si>
  <si>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</si>
  <si>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</si>
  <si>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</si>
  <si>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</si>
  <si>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</si>
  <si>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</si>
  <si>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</si>
  <si>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</si>
  <si>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</si>
  <si>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</si>
  <si>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</si>
  <si>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</si>
  <si>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</si>
  <si>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</si>
  <si>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</si>
  <si>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</si>
  <si>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</si>
  <si>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</si>
  <si>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</si>
  <si>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</si>
  <si>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</si>
  <si>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</si>
  <si>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</si>
  <si>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</si>
  <si>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</si>
  <si>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</si>
  <si>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</si>
  <si>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</si>
  <si>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</si>
  <si>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</si>
  <si>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</si>
  <si>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</si>
  <si>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</si>
  <si>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</si>
  <si>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</si>
  <si>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</si>
  <si>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</si>
  <si>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</si>
  <si>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</si>
  <si>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</si>
  <si>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</si>
  <si>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</si>
  <si>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</si>
  <si>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</si>
  <si>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</si>
  <si>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</si>
  <si>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</si>
  <si>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</si>
  <si>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</si>
  <si>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</si>
  <si>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</si>
  <si>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</si>
  <si>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</si>
  <si>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</si>
  <si>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</si>
  <si>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</si>
  <si>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</si>
  <si>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</si>
  <si>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</si>
  <si>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</si>
  <si>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</si>
  <si>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</si>
  <si>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</si>
  <si>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</si>
  <si>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</si>
  <si>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</si>
  <si>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</si>
  <si>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</si>
  <si>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</si>
  <si>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</si>
  <si>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</si>
  <si>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</si>
  <si>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</si>
  <si>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</si>
  <si>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</si>
  <si>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</si>
  <si>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</si>
  <si>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</si>
  <si>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</si>
  <si>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</si>
  <si>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</si>
  <si>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</si>
  <si>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</si>
  <si>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</si>
  <si>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</si>
  <si>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</si>
  <si>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</si>
  <si>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</si>
  <si>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</si>
  <si>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</si>
  <si>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</si>
  <si>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</si>
  <si>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</si>
  <si>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</si>
  <si>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</si>
  <si>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</si>
  <si>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</si>
  <si>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</si>
  <si>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</si>
  <si>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</si>
  <si>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</si>
  <si>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</si>
  <si>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</si>
  <si>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</si>
  <si>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</si>
  <si>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</si>
  <si>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</si>
  <si>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</si>
  <si>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</si>
  <si>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</si>
  <si>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</si>
  <si>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</si>
  <si>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</si>
  <si>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</si>
  <si>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</si>
  <si>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</si>
  <si>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</si>
  <si>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</si>
  <si>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</si>
  <si>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</si>
  <si>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</si>
  <si>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</si>
  <si>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</si>
  <si>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</si>
  <si>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</si>
  <si>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</si>
  <si>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</si>
  <si>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</si>
  <si>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</si>
  <si>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</si>
  <si>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</si>
  <si>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</si>
  <si>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</si>
  <si>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</si>
  <si>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</si>
  <si>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</si>
  <si>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</si>
  <si>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</si>
  <si>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</si>
  <si>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</si>
  <si>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</si>
  <si>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</si>
  <si>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</si>
  <si>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</si>
  <si>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</si>
  <si>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</si>
  <si>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</si>
  <si>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</si>
  <si>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</si>
  <si>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</si>
  <si>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</si>
  <si>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</si>
  <si>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</si>
  <si>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</si>
  <si>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</si>
  <si>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</si>
  <si>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</si>
  <si>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</si>
  <si>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</si>
  <si>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</si>
  <si>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</si>
  <si>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</si>
  <si>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</si>
  <si>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</si>
  <si>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</si>
  <si>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</si>
  <si>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</si>
  <si>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</si>
  <si>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</si>
  <si>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</si>
  <si>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</si>
  <si>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</si>
  <si>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</si>
  <si>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</si>
  <si>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</si>
  <si>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</si>
  <si>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</si>
  <si>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</si>
  <si>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</si>
  <si>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</si>
  <si>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</si>
  <si>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</si>
  <si>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</si>
  <si>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</si>
  <si>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</si>
  <si>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</si>
  <si>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</si>
  <si>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</si>
  <si>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</si>
  <si>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</si>
  <si>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</si>
  <si>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</si>
  <si>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</si>
  <si>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</si>
  <si>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</si>
  <si>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</si>
  <si>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</si>
  <si>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</si>
  <si>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</si>
  <si>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</si>
  <si>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</si>
  <si>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</si>
  <si>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</si>
  <si>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</si>
  <si>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</si>
  <si>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</si>
  <si>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</si>
  <si>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</si>
  <si>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</si>
  <si>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</si>
  <si>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</si>
  <si>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</si>
  <si>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</si>
  <si>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</si>
  <si>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</si>
  <si>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</si>
  <si>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</si>
  <si>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</si>
  <si>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</si>
  <si>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</si>
  <si>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</si>
  <si>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</si>
  <si>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</si>
  <si>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</si>
  <si>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</si>
  <si>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</si>
  <si>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</si>
  <si>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</si>
  <si>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</si>
  <si>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</si>
  <si>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</si>
  <si>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</si>
  <si>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</si>
  <si>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</si>
  <si>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</si>
  <si>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</si>
  <si>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</si>
  <si>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</si>
  <si>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</si>
  <si>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</si>
  <si>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</si>
  <si>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</si>
  <si>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</si>
  <si>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</si>
  <si>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</si>
  <si>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</si>
  <si>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</si>
  <si>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</si>
  <si>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</si>
  <si>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</si>
  <si>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</si>
  <si>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</si>
  <si>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</si>
  <si>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</si>
  <si>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</si>
  <si>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</si>
  <si>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</si>
  <si>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</si>
  <si>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</si>
  <si>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</si>
  <si>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</si>
  <si>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</si>
  <si>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</si>
  <si>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</si>
  <si>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</si>
  <si>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</si>
  <si>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</si>
  <si>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</si>
  <si>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</si>
  <si>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</si>
  <si>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</si>
  <si>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</si>
  <si>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</si>
  <si>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</si>
  <si>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</si>
  <si>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</si>
  <si>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</si>
  <si>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</si>
  <si>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</si>
  <si>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</si>
  <si>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</si>
  <si>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</si>
  <si>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</si>
  <si>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</si>
  <si>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</si>
  <si>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</si>
  <si>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</si>
  <si>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</si>
  <si>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</si>
  <si>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</si>
  <si>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</si>
  <si>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</si>
  <si>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</si>
  <si>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</si>
  <si>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</si>
  <si>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</si>
  <si>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</si>
  <si>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</si>
  <si>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</si>
  <si>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</si>
  <si>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</si>
  <si>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</si>
  <si>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</si>
  <si>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</si>
  <si>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</si>
  <si>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</si>
  <si>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</si>
  <si>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</si>
  <si>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</si>
  <si>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</si>
  <si>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</si>
  <si>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</si>
  <si>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</si>
  <si>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</si>
  <si>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</si>
  <si>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</si>
  <si>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</si>
  <si>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</si>
  <si>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</si>
  <si>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</si>
  <si>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</si>
  <si>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</si>
  <si>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</si>
  <si>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</si>
  <si>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</si>
  <si>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</si>
  <si>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</si>
  <si>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</si>
  <si>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</si>
  <si>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</si>
  <si>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</si>
  <si>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</si>
  <si>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</si>
  <si>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</si>
  <si>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</si>
  <si>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</si>
  <si>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</si>
  <si>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</si>
  <si>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</si>
  <si>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</si>
  <si>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</si>
  <si>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</si>
  <si>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</si>
  <si>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</si>
  <si>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</si>
  <si>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</si>
  <si>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</si>
  <si>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</si>
  <si>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</si>
  <si>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</si>
  <si>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</si>
  <si>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</si>
  <si>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</si>
  <si>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</si>
  <si>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</si>
  <si>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</si>
  <si>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</si>
  <si>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</si>
  <si>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</si>
  <si>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</si>
  <si>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</si>
  <si>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</si>
  <si>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</si>
  <si>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</si>
  <si>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</si>
  <si>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</si>
  <si>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</si>
  <si>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</si>
  <si>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</si>
  <si>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</si>
  <si>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</si>
  <si>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</si>
  <si>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</si>
  <si>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</si>
  <si>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</si>
  <si>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</si>
  <si>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</si>
  <si>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</si>
  <si>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</si>
  <si>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</si>
  <si>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</si>
  <si>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</si>
  <si>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</si>
  <si>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</si>
  <si>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</si>
  <si>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</si>
  <si>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</si>
  <si>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</si>
  <si>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</si>
  <si>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</si>
  <si>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</si>
  <si>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</si>
  <si>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</si>
  <si>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</si>
  <si>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</si>
  <si>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</si>
  <si>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</si>
  <si>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</si>
  <si>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</si>
  <si>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</si>
  <si>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</si>
  <si>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</si>
  <si>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</si>
  <si>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</si>
  <si>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</si>
  <si>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</si>
  <si>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</si>
  <si>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</si>
  <si>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</si>
  <si>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</si>
  <si>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</si>
  <si>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</si>
  <si>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</si>
  <si>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</si>
  <si>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</si>
  <si>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</si>
  <si>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</si>
  <si>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</si>
  <si>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</si>
  <si>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</si>
  <si>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</si>
  <si>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</si>
  <si>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</si>
  <si>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</si>
  <si>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</si>
  <si>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</si>
  <si>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</si>
  <si>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</si>
  <si>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</si>
  <si>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</si>
  <si>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</si>
  <si>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</si>
  <si>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</si>
  <si>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</si>
  <si>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</si>
  <si>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</si>
  <si>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</si>
  <si>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</si>
  <si>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</si>
  <si>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</si>
  <si>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</si>
  <si>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</si>
  <si>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</si>
  <si>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</si>
  <si>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</si>
  <si>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</si>
  <si>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</si>
  <si>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</si>
  <si>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</si>
  <si>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</si>
  <si>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</si>
  <si>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</si>
  <si>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</si>
  <si>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</si>
  <si>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</si>
  <si>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</si>
  <si>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</si>
  <si>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</si>
  <si>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</si>
  <si>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</si>
  <si>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</si>
  <si>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</si>
  <si>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</si>
  <si>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</si>
  <si>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</si>
  <si>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</si>
  <si>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</si>
  <si>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</si>
  <si>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</si>
  <si>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</si>
  <si>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</si>
  <si>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</si>
  <si>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</si>
  <si>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</si>
  <si>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</si>
  <si>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</si>
  <si>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</si>
  <si>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</si>
  <si>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</si>
  <si>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</si>
  <si>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</si>
  <si>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</si>
  <si>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</si>
  <si>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</si>
  <si>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</si>
  <si>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</si>
  <si>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</si>
  <si>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</si>
  <si>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</si>
  <si>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</si>
  <si>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</si>
  <si>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</si>
  <si>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</si>
  <si>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</si>
  <si>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</si>
  <si>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</si>
  <si>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</si>
  <si>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</si>
  <si>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</si>
  <si>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</si>
  <si>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</si>
  <si>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</si>
  <si>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</si>
  <si>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</si>
  <si>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</si>
  <si>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</si>
  <si>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</si>
  <si>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</si>
  <si>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</si>
  <si>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</si>
  <si>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</si>
  <si>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</si>
  <si>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</si>
  <si>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</si>
  <si>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</si>
  <si>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</si>
  <si>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</si>
  <si>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</si>
  <si>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</si>
  <si>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</si>
  <si>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</si>
  <si>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</si>
  <si>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</si>
  <si>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</si>
  <si>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</si>
  <si>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</si>
  <si>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</si>
  <si>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</si>
  <si>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</si>
  <si>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</si>
  <si>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</si>
  <si>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</si>
  <si>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</si>
  <si>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</si>
  <si>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</si>
  <si>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</si>
  <si>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</si>
  <si>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</si>
  <si>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</si>
  <si>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</si>
  <si>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</si>
  <si>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</si>
  <si>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</si>
  <si>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</si>
  <si>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</si>
  <si>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</si>
  <si>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</si>
  <si>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</si>
  <si>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</si>
  <si>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</si>
  <si>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</si>
  <si>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</si>
  <si>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</si>
  <si>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</si>
  <si>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</si>
  <si>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</si>
  <si>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</si>
  <si>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</si>
  <si>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</si>
  <si>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</si>
  <si>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</si>
  <si>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</si>
  <si>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</si>
  <si>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</si>
  <si>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</si>
  <si>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</si>
  <si>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</si>
  <si>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</si>
  <si>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</si>
  <si>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</si>
  <si>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</si>
  <si>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</si>
  <si>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</si>
  <si>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</si>
  <si>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</si>
  <si>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</si>
  <si>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</si>
  <si>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</si>
  <si>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</si>
  <si>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</si>
  <si>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</si>
  <si>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</si>
  <si>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</si>
  <si>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</si>
  <si>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</si>
  <si>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</si>
  <si>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</si>
  <si>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</si>
  <si>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</si>
  <si>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</si>
  <si>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</si>
  <si>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</si>
  <si>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</si>
  <si>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</si>
  <si>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</si>
  <si>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</si>
  <si>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</si>
  <si>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</si>
  <si>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</si>
  <si>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</si>
  <si>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</si>
  <si>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</si>
  <si>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</si>
  <si>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</si>
  <si>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</si>
  <si>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</si>
  <si>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</si>
  <si>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</si>
  <si>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</si>
  <si>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</si>
  <si>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</si>
  <si>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</si>
  <si>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</si>
  <si>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</si>
  <si>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</si>
  <si>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</si>
  <si>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</si>
  <si>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</si>
  <si>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</si>
  <si>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</si>
  <si>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</si>
  <si>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</si>
  <si>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</si>
  <si>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</si>
  <si>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</si>
  <si>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</si>
  <si>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</si>
  <si>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</si>
  <si>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</si>
  <si>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</si>
  <si>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</si>
  <si>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</si>
  <si>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</si>
  <si>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</si>
  <si>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</si>
  <si>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</si>
  <si>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</si>
  <si>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</si>
  <si>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</si>
  <si>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</si>
  <si>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</si>
  <si>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</si>
  <si>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</si>
  <si>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</si>
  <si>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</si>
  <si>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</si>
  <si>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</si>
  <si>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</si>
  <si>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</si>
  <si>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</si>
  <si>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</si>
  <si>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</si>
  <si>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</si>
  <si>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</si>
  <si>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</si>
  <si>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</si>
  <si>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</si>
  <si>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</si>
  <si>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</si>
  <si>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</si>
  <si>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</si>
  <si>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</si>
  <si>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</si>
  <si>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</si>
  <si>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</si>
  <si>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</si>
  <si>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</si>
  <si>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</si>
  <si>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</si>
  <si>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</si>
  <si>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</si>
  <si>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</si>
  <si>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</si>
  <si>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</si>
  <si>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</si>
  <si>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</si>
  <si>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</si>
  <si>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</si>
  <si>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</si>
  <si>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</si>
  <si>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</si>
  <si>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</si>
  <si>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</si>
  <si>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</si>
  <si>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</si>
  <si>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</si>
  <si>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</si>
  <si>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</si>
  <si>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</si>
  <si>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</si>
  <si>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</si>
  <si>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</si>
  <si>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</si>
  <si>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</si>
  <si>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</si>
  <si>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</si>
  <si>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</si>
  <si>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</si>
  <si>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</si>
  <si>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</si>
  <si>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</si>
  <si>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</si>
  <si>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</si>
  <si>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</si>
  <si>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</si>
  <si>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</si>
  <si>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</si>
  <si>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</si>
  <si>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</si>
  <si>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</si>
  <si>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</si>
  <si>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</si>
  <si>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</si>
  <si>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</si>
  <si>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</si>
  <si>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</si>
  <si>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</si>
  <si>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</si>
  <si>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</si>
  <si>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</si>
  <si>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</si>
  <si>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</si>
  <si>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</si>
  <si>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</si>
  <si>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</si>
  <si>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</si>
  <si>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</si>
  <si>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</si>
  <si>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</si>
  <si>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</si>
  <si>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</si>
  <si>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</si>
  <si>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</si>
  <si>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</si>
  <si>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</si>
  <si>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</si>
  <si>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</si>
  <si>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</si>
  <si>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</si>
  <si>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</si>
  <si>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</si>
  <si>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</si>
  <si>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</si>
  <si>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</si>
  <si>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</si>
  <si>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</si>
  <si>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</si>
  <si>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</si>
  <si>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</si>
  <si>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</si>
  <si>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</si>
  <si>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</si>
  <si>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</si>
  <si>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</si>
  <si>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</si>
  <si>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</si>
  <si>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</si>
  <si>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</si>
  <si>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</si>
  <si>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</si>
  <si>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</si>
  <si>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</si>
  <si>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</si>
  <si>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</si>
  <si>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</si>
  <si>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</si>
  <si>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</si>
  <si>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</si>
  <si>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</si>
  <si>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</si>
  <si>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</si>
  <si>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</si>
  <si>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</si>
  <si>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</si>
  <si>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</si>
  <si>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</si>
  <si>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</si>
  <si>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</si>
  <si>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</si>
  <si>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</si>
  <si>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</si>
  <si>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</si>
  <si>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</si>
  <si>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</si>
  <si>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</si>
  <si>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</si>
  <si>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</si>
  <si>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</si>
  <si>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</si>
  <si>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</si>
  <si>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</si>
  <si>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</si>
  <si>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</si>
  <si>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</si>
  <si>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</si>
  <si>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</si>
  <si>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</si>
  <si>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</si>
  <si>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</si>
  <si>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</si>
  <si>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</si>
  <si>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</si>
  <si>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</si>
  <si>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</si>
  <si>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</si>
  <si>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</si>
  <si>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</si>
  <si>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</si>
  <si>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</si>
  <si>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</si>
  <si>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</si>
  <si>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</si>
  <si>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</si>
  <si>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</si>
  <si>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</si>
  <si>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</si>
  <si>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</si>
  <si>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</si>
  <si>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</si>
  <si>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</si>
  <si>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</si>
  <si>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</si>
  <si>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</si>
  <si>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</si>
  <si>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</si>
  <si>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</si>
  <si>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</si>
  <si>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</si>
  <si>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</si>
  <si>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</si>
  <si>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</si>
  <si>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</si>
  <si>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</si>
  <si>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</si>
  <si>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</si>
  <si>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</si>
  <si>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</si>
  <si>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</si>
  <si>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</si>
  <si>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</si>
  <si>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</si>
  <si>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</si>
  <si>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</si>
  <si>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</si>
  <si>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</si>
  <si>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</si>
  <si>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</si>
  <si>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</si>
  <si>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</si>
  <si>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</si>
  <si>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</si>
  <si>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</si>
  <si>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</si>
  <si>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</si>
  <si>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</si>
  <si>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</si>
  <si>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</si>
  <si>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</si>
  <si>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</si>
  <si>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</si>
  <si>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</si>
  <si>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</si>
  <si>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</si>
  <si>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</si>
  <si>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</si>
  <si>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</si>
  <si>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</si>
  <si>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</si>
  <si>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</si>
  <si>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</si>
  <si>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</si>
  <si>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</si>
  <si>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</si>
  <si>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</si>
  <si>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</si>
  <si>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</si>
  <si>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</si>
  <si>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</si>
  <si>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</si>
  <si>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</si>
  <si>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</si>
  <si>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</si>
  <si>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</si>
  <si>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</si>
  <si>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</si>
  <si>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</si>
  <si>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</si>
  <si>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</si>
  <si>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</si>
  <si>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</si>
  <si>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</si>
  <si>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</si>
  <si>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</si>
  <si>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</si>
  <si>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</si>
  <si>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</si>
  <si>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</si>
  <si>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</si>
  <si>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</si>
  <si>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</si>
  <si>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</si>
  <si>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</si>
  <si>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</si>
  <si>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</si>
  <si>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</si>
  <si>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</si>
  <si>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</si>
  <si>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</si>
  <si>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</si>
  <si>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</si>
  <si>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</si>
  <si>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</si>
  <si>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</si>
  <si>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</si>
  <si>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</si>
  <si>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</si>
  <si>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</si>
  <si>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</si>
  <si>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</si>
  <si>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</si>
  <si>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</si>
  <si>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</si>
  <si>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</si>
  <si>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</si>
  <si>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</si>
  <si>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</si>
  <si>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</si>
  <si>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</si>
  <si>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</si>
  <si>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</si>
  <si>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</si>
  <si>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</si>
  <si>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</si>
  <si>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</si>
  <si>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</si>
  <si>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</si>
  <si>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</si>
  <si>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</si>
  <si>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</si>
  <si>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</si>
  <si>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</si>
  <si>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</si>
  <si>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</si>
  <si>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</si>
  <si>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</si>
  <si>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</si>
  <si>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</si>
  <si>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</si>
  <si>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</si>
  <si>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</si>
  <si>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</si>
  <si>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</si>
  <si>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</si>
  <si>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</si>
  <si>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</si>
  <si>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</si>
  <si>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</si>
  <si>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</si>
  <si>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</si>
  <si>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</si>
  <si>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</si>
  <si>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</si>
  <si>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</si>
  <si>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</si>
  <si>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</si>
  <si>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</si>
  <si>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</si>
  <si>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</si>
  <si>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</si>
  <si>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</si>
  <si>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</si>
  <si>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</si>
  <si>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</si>
  <si>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</si>
  <si>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</si>
  <si>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</si>
  <si>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</si>
  <si>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</si>
  <si>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</si>
  <si>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</si>
  <si>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</si>
  <si>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</si>
  <si>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</si>
  <si>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</si>
  <si>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</si>
  <si>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</si>
  <si>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</si>
  <si>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</si>
  <si>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</si>
  <si>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</si>
  <si>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</si>
  <si>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</si>
  <si>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</si>
  <si>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</si>
  <si>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</si>
  <si>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</si>
  <si>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</si>
  <si>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</si>
  <si>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</si>
  <si>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</si>
  <si>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</si>
  <si>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</si>
  <si>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</si>
  <si>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</si>
  <si>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</si>
  <si>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</si>
  <si>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</si>
  <si>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</si>
  <si>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</si>
  <si>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</si>
  <si>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</si>
  <si>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</si>
  <si>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</si>
  <si>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</si>
  <si>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</si>
  <si>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</si>
  <si>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</si>
  <si>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</si>
  <si>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</si>
  <si>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</si>
  <si>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</si>
  <si>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</si>
  <si>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</si>
  <si>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</si>
  <si>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</si>
  <si>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</si>
  <si>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</si>
  <si>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</si>
  <si>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</si>
  <si>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</si>
  <si>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</si>
  <si>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</si>
  <si>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</si>
  <si>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</si>
  <si>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</si>
  <si>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</si>
  <si>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</si>
  <si>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</si>
  <si>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</si>
  <si>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</si>
  <si>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</si>
  <si>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</si>
  <si>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</si>
  <si>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</si>
  <si>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</si>
  <si>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</si>
  <si>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</si>
  <si>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</si>
  <si>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</si>
  <si>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</si>
  <si>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</si>
  <si>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</si>
  <si>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</si>
  <si>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</si>
  <si>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</si>
  <si>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</si>
  <si>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</si>
  <si>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</si>
  <si>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</si>
  <si>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</si>
  <si>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</si>
  <si>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</si>
  <si>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</si>
  <si>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</si>
  <si>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</si>
  <si>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</si>
  <si>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</si>
  <si>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</si>
  <si>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</si>
  <si>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</si>
  <si>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</si>
  <si>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</si>
  <si>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</si>
  <si>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</si>
  <si>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</si>
  <si>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</si>
  <si>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</si>
  <si>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</si>
  <si>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</si>
  <si>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</si>
  <si>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</si>
  <si>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</si>
  <si>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</si>
  <si>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</si>
  <si>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</si>
  <si>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</si>
  <si>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</si>
  <si>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</si>
  <si>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</si>
  <si>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</si>
  <si>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</si>
  <si>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</si>
  <si>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</si>
  <si>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</si>
  <si>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</si>
  <si>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</si>
  <si>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</si>
  <si>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</si>
  <si>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</si>
  <si>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</si>
  <si>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</si>
  <si>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</si>
  <si>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</si>
  <si>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</si>
  <si>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</si>
  <si>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</si>
  <si>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</si>
  <si>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</si>
  <si>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</si>
  <si>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</si>
  <si>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</si>
  <si>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</si>
  <si>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</si>
  <si>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</si>
  <si>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</si>
  <si>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</si>
  <si>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</si>
  <si>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</si>
  <si>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</si>
  <si>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</si>
  <si>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</si>
  <si>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</si>
  <si>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</si>
  <si>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</si>
  <si>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</si>
  <si>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</si>
  <si>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</si>
  <si>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</si>
  <si>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</si>
  <si>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</si>
  <si>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</si>
  <si>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</si>
  <si>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</si>
  <si>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</si>
  <si>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</si>
  <si>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</si>
  <si>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</si>
  <si>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</si>
  <si>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</si>
  <si>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</si>
  <si>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</si>
  <si>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</si>
  <si>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</si>
  <si>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</si>
  <si>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</si>
  <si>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</si>
  <si>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</si>
  <si>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</si>
  <si>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</si>
  <si>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</si>
  <si>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</si>
  <si>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</si>
  <si>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</si>
  <si>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</si>
  <si>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</si>
  <si>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</si>
  <si>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</si>
  <si>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</si>
  <si>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</si>
  <si>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</si>
  <si>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</si>
  <si>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</si>
  <si>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</si>
  <si>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</si>
  <si>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</si>
  <si>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</si>
  <si>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</si>
  <si>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</si>
  <si>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</si>
  <si>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</si>
  <si>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</si>
  <si>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</si>
  <si>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</si>
  <si>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</si>
  <si>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</si>
  <si>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</si>
  <si>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</si>
  <si>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</si>
  <si>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</si>
  <si>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</si>
  <si>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</si>
  <si>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</si>
  <si>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</si>
  <si>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</si>
  <si>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</si>
  <si>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</si>
  <si>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</si>
  <si>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</si>
  <si>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</si>
  <si>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</si>
  <si>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</si>
  <si>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</si>
  <si>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</si>
  <si>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</si>
  <si>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</si>
  <si>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</si>
  <si>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</si>
  <si>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</si>
  <si>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</si>
  <si>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</si>
  <si>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</si>
  <si>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</si>
  <si>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</si>
  <si>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</si>
  <si>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</si>
  <si>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</si>
  <si>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</si>
  <si>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</si>
  <si>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</si>
  <si>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</si>
  <si>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</si>
  <si>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</si>
  <si>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</si>
  <si>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</si>
  <si>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</si>
  <si>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</si>
  <si>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</si>
  <si>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</si>
  <si>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</si>
  <si>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</si>
  <si>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</si>
  <si>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</si>
  <si>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</si>
  <si>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</si>
  <si>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</si>
  <si>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</si>
  <si>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</si>
  <si>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</si>
  <si>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</si>
  <si>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</si>
  <si>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</si>
  <si>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</si>
  <si>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</si>
  <si>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</si>
  <si>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</si>
  <si>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</si>
  <si>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</si>
  <si>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</si>
  <si>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</si>
  <si>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</si>
  <si>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</si>
  <si>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</si>
  <si>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</si>
  <si>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</si>
  <si>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</si>
  <si>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</si>
  <si>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</si>
  <si>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</si>
  <si>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</si>
  <si>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</si>
  <si>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</si>
  <si>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</si>
  <si>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</si>
  <si>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</si>
  <si>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</si>
  <si>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</si>
  <si>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</si>
  <si>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</si>
  <si>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</si>
  <si>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</si>
  <si>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</si>
  <si>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</si>
  <si>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</si>
  <si>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</si>
  <si>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</si>
  <si>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</si>
  <si>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</si>
  <si>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</si>
  <si>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</si>
  <si>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</si>
  <si>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</si>
  <si>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</si>
  <si>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</si>
  <si>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</si>
  <si>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</si>
  <si>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</si>
  <si>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</si>
  <si>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</si>
  <si>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</si>
  <si>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</si>
  <si>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</si>
  <si>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</si>
  <si>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</si>
  <si>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</si>
  <si>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</si>
  <si>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</si>
  <si>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</si>
  <si>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</si>
  <si>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</si>
  <si>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</si>
  <si>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</si>
  <si>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</si>
  <si>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</si>
  <si>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</si>
  <si>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</si>
  <si>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</si>
  <si>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</si>
  <si>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</si>
  <si>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</si>
  <si>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</si>
  <si>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</si>
  <si>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</si>
  <si>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</si>
  <si>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</si>
  <si>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</si>
  <si>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</si>
  <si>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</si>
  <si>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</si>
  <si>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</si>
  <si>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</si>
  <si>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</si>
  <si>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</si>
  <si>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</si>
  <si>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</si>
  <si>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</si>
  <si>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</si>
  <si>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</si>
  <si>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</si>
  <si>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</si>
  <si>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</si>
  <si>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</si>
  <si>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</si>
  <si>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</si>
  <si>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</si>
  <si>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</si>
  <si>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</si>
  <si>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</si>
  <si>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</si>
  <si>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</si>
  <si>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</si>
  <si>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</si>
  <si>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</si>
  <si>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</si>
  <si>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</si>
  <si>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</si>
  <si>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</si>
  <si>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</si>
  <si>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</si>
  <si>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</si>
  <si>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</si>
  <si>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</si>
  <si>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</si>
  <si>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</si>
  <si>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</si>
  <si>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</si>
  <si>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</si>
  <si>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</si>
  <si>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</si>
  <si>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</si>
  <si>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</si>
  <si>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</si>
  <si>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</si>
  <si>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</si>
  <si>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</si>
  <si>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</si>
  <si>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</si>
  <si>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</si>
  <si>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</si>
  <si>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</si>
  <si>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</si>
  <si>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</si>
  <si>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</si>
  <si>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</si>
  <si>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</si>
  <si>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</si>
  <si>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</si>
  <si>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</si>
  <si>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</si>
  <si>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</si>
  <si>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</si>
  <si>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</si>
  <si>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</si>
  <si>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</si>
  <si>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</si>
  <si>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</si>
  <si>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</si>
  <si>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</si>
  <si>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</si>
  <si>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</si>
  <si>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</si>
  <si>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</si>
  <si>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</si>
  <si>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</si>
  <si>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</si>
  <si>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</si>
  <si>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</si>
  <si>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</si>
  <si>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</si>
  <si>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</si>
  <si>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</si>
  <si>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</si>
  <si>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</si>
  <si>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</si>
  <si>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</si>
  <si>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</si>
  <si>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</si>
  <si>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</si>
  <si>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</si>
  <si>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</si>
  <si>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</si>
  <si>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</si>
  <si>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</si>
  <si>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</si>
  <si>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</si>
  <si>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</si>
  <si>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</si>
  <si>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</si>
  <si>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</si>
  <si>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</si>
  <si>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</si>
  <si>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</si>
  <si>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</si>
  <si>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</si>
  <si>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</si>
  <si>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</si>
  <si>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</si>
  <si>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</si>
  <si>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</si>
  <si>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</si>
  <si>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</si>
  <si>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</si>
  <si>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</si>
  <si>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</si>
  <si>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</si>
  <si>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</si>
  <si>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</si>
  <si>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</si>
  <si>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</si>
  <si>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</si>
  <si>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</si>
  <si>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</si>
  <si>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</si>
  <si>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</si>
  <si>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</si>
  <si>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</si>
  <si>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</si>
  <si>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</si>
  <si>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</si>
  <si>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</si>
  <si>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</si>
  <si>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</si>
  <si>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</si>
  <si>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</si>
  <si>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</si>
  <si>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</si>
  <si>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</si>
  <si>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</si>
  <si>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</si>
  <si>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</si>
  <si>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</si>
  <si>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</si>
  <si>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</si>
  <si>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</si>
  <si>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</si>
  <si>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</si>
  <si>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</si>
  <si>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</si>
  <si>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</si>
  <si>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</si>
  <si>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</si>
  <si>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</si>
  <si>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</si>
  <si>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</si>
  <si>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</si>
  <si>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</si>
  <si>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</si>
  <si>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</si>
  <si>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</si>
  <si>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</si>
  <si>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</si>
  <si>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</si>
  <si>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</si>
  <si>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</si>
  <si>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</si>
  <si>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</si>
  <si>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</si>
  <si>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</si>
  <si>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</si>
  <si>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</si>
  <si>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</si>
  <si>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</si>
  <si>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</si>
  <si>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</si>
  <si>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</si>
  <si>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</si>
  <si>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</si>
  <si>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</si>
  <si>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</si>
  <si>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</si>
  <si>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</si>
  <si>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</si>
  <si>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</si>
  <si>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</si>
  <si>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</si>
  <si>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</si>
  <si>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</si>
  <si>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</si>
  <si>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</si>
  <si>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</si>
  <si>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</si>
  <si>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</si>
  <si>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</si>
  <si>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</si>
  <si>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</si>
  <si>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</si>
  <si>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</si>
  <si>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</si>
  <si>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</si>
  <si>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</si>
  <si>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</si>
  <si>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</si>
  <si>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</si>
  <si>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</si>
  <si>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</si>
  <si>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</si>
  <si>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</si>
  <si>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</si>
  <si>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</si>
  <si>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</si>
  <si>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</si>
  <si>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</si>
  <si>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</si>
  <si>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</si>
  <si>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</si>
  <si>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</si>
  <si>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</si>
  <si>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</si>
  <si>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</si>
  <si>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</si>
  <si>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</si>
  <si>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</si>
  <si>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</si>
  <si>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</si>
  <si>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</si>
  <si>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</si>
  <si>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</si>
  <si>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</si>
  <si>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</si>
  <si>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</si>
  <si>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</si>
  <si>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</si>
  <si>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</si>
  <si>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</si>
  <si>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</si>
  <si>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</si>
  <si>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</si>
  <si>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</si>
  <si>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</si>
  <si>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</si>
  <si>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</si>
  <si>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</si>
  <si>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</si>
  <si>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</si>
  <si>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</si>
  <si>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</si>
  <si>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</si>
  <si>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</si>
  <si>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</si>
  <si>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</si>
  <si>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</si>
  <si>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</si>
  <si>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</si>
  <si>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</si>
  <si>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</si>
  <si>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</si>
  <si>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</si>
  <si>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</si>
  <si>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</si>
  <si>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</si>
  <si>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</si>
  <si>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</si>
  <si>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</si>
  <si>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</si>
  <si>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</si>
  <si>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</si>
  <si>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</si>
  <si>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</si>
  <si>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</si>
  <si>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</si>
  <si>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</si>
  <si>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</si>
  <si>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</si>
  <si>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</si>
  <si>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</si>
  <si>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</si>
  <si>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</si>
  <si>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</si>
  <si>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</si>
  <si>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</si>
  <si>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</si>
  <si>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</si>
  <si>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</si>
  <si>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</si>
  <si>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</si>
  <si>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</si>
  <si>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</si>
  <si>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</si>
  <si>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</si>
  <si>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</si>
  <si>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</si>
  <si>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</si>
  <si>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</si>
  <si>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</si>
  <si>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</si>
  <si>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</si>
  <si>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</si>
  <si>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</si>
  <si>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</si>
  <si>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</si>
  <si>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</si>
  <si>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</si>
  <si>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</si>
  <si>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</si>
  <si>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</si>
  <si>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</si>
  <si>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</si>
  <si>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</si>
  <si>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</si>
  <si>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</si>
  <si>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</si>
  <si>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</si>
  <si>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</si>
  <si>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</si>
  <si>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</si>
  <si>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</si>
  <si>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</si>
  <si>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</si>
  <si>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</si>
  <si>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</si>
  <si>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</si>
  <si>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</si>
  <si>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</si>
  <si>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</si>
  <si>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</si>
  <si>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</si>
  <si>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</si>
  <si>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</si>
  <si>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</si>
  <si>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</si>
  <si>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</si>
  <si>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</si>
  <si>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</si>
  <si>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</si>
  <si>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</si>
  <si>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</si>
  <si>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</si>
  <si>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</si>
  <si>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</si>
  <si>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</si>
  <si>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</si>
  <si>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</si>
  <si>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</si>
  <si>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</si>
  <si>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</si>
  <si>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</si>
  <si>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</si>
  <si>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</si>
  <si>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</si>
  <si>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</si>
  <si>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</si>
  <si>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</si>
  <si>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</si>
  <si>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</si>
  <si>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</si>
  <si>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</si>
  <si>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</si>
  <si>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</si>
  <si>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</si>
  <si>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</si>
  <si>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</si>
  <si>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</si>
  <si>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</si>
  <si>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</si>
  <si>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</si>
  <si>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</si>
  <si>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</si>
  <si>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</si>
  <si>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</si>
  <si>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</si>
  <si>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</si>
  <si>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</si>
  <si>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</si>
  <si>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</si>
  <si>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</si>
  <si>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</si>
  <si>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</si>
  <si>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</si>
  <si>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</si>
  <si>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</si>
  <si>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</si>
  <si>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</si>
  <si>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</si>
  <si>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</si>
  <si>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</si>
  <si>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</si>
  <si>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</si>
  <si>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</si>
  <si>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</si>
  <si>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</si>
  <si>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</si>
  <si>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</si>
  <si>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</si>
  <si>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</si>
  <si>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</si>
  <si>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</si>
  <si>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</si>
  <si>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</si>
  <si>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</si>
  <si>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</si>
  <si>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</si>
  <si>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</si>
  <si>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</si>
  <si>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</si>
  <si>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</si>
  <si>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</si>
  <si>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</si>
  <si>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</si>
  <si>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</si>
  <si>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</si>
  <si>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</si>
  <si>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</si>
  <si>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</si>
  <si>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</si>
  <si>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</si>
  <si>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</si>
  <si>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</si>
  <si>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</si>
  <si>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</si>
  <si>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</si>
  <si>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</si>
  <si>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</si>
  <si>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</si>
  <si>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</si>
  <si>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</si>
  <si>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</si>
  <si>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</si>
  <si>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</si>
  <si>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</si>
  <si>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</si>
  <si>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</si>
  <si>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</si>
  <si>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</si>
  <si>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</si>
  <si>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</si>
  <si>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</si>
  <si>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</si>
  <si>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</si>
  <si>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</si>
  <si>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</si>
  <si>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</si>
  <si>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</si>
  <si>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</si>
  <si>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</si>
  <si>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</si>
  <si>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</si>
  <si>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</si>
  <si>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</si>
  <si>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</si>
  <si>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</si>
  <si>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</si>
  <si>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</si>
  <si>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</si>
  <si>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</si>
  <si>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</si>
  <si>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</si>
  <si>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</si>
  <si>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</si>
  <si>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</si>
  <si>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</si>
  <si>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</si>
  <si>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</si>
  <si>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</si>
  <si>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</si>
  <si>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</si>
  <si>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</si>
  <si>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</si>
  <si>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</si>
  <si>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</si>
  <si>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</si>
  <si>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</si>
  <si>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</si>
  <si>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</si>
  <si>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</si>
  <si>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</si>
  <si>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</si>
  <si>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</si>
  <si>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</si>
  <si>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</si>
  <si>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</si>
  <si>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</si>
  <si>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</si>
  <si>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</si>
  <si>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</si>
  <si>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</si>
  <si>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</si>
  <si>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</si>
  <si>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</si>
  <si>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</si>
  <si>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</si>
  <si>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</si>
  <si>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</si>
  <si>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</si>
  <si>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</si>
  <si>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</si>
  <si>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</si>
  <si>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</si>
  <si>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</si>
  <si>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</si>
  <si>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</si>
  <si>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</si>
  <si>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</si>
  <si>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</si>
  <si>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</si>
  <si>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</si>
  <si>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</si>
  <si>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</si>
  <si>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</si>
  <si>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</si>
  <si>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</si>
  <si>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</si>
  <si>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</si>
  <si>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</si>
  <si>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</si>
  <si>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</si>
  <si>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</si>
  <si>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</si>
  <si>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</si>
  <si>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</si>
  <si>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</si>
  <si>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</si>
  <si>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</si>
  <si>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</si>
  <si>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</si>
  <si>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</si>
  <si>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</si>
  <si>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</si>
  <si>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</si>
  <si>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</si>
  <si>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</si>
  <si>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</si>
  <si>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</si>
  <si>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</si>
  <si>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</si>
  <si>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</si>
  <si>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</si>
  <si>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</si>
  <si>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</si>
  <si>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</si>
  <si>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</si>
  <si>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</si>
  <si>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</si>
  <si>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</si>
  <si>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</si>
  <si>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</si>
  <si>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</si>
  <si>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</si>
  <si>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</si>
  <si>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</si>
  <si>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</si>
  <si>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</si>
  <si>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</si>
  <si>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</si>
  <si>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</si>
  <si>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</si>
  <si>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</si>
  <si>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</si>
  <si>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</si>
  <si>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</si>
  <si>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</si>
  <si>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</si>
  <si>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</si>
  <si>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</si>
  <si>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</si>
  <si>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</si>
  <si>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</si>
  <si>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</si>
  <si>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</si>
  <si>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</si>
  <si>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</si>
  <si>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</si>
  <si>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</si>
  <si>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</si>
  <si>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</si>
  <si>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</si>
  <si>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</si>
  <si>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</si>
  <si>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</si>
  <si>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</si>
  <si>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</si>
  <si>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</si>
  <si>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</si>
  <si>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</si>
  <si>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</si>
  <si>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</si>
  <si>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</si>
  <si>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</si>
  <si>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</si>
  <si>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</si>
  <si>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</si>
  <si>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</si>
  <si>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</si>
  <si>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</si>
  <si>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</si>
  <si>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</si>
  <si>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</si>
  <si>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</si>
  <si>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</si>
  <si>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</si>
  <si>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</si>
  <si>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</si>
  <si>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</si>
  <si>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</si>
  <si>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</si>
  <si>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</si>
  <si>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</si>
  <si>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</si>
  <si>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</si>
  <si>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</si>
  <si>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</si>
  <si>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</si>
  <si>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</si>
  <si>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</si>
  <si>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</si>
  <si>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</si>
  <si>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</si>
  <si>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</si>
  <si>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</si>
  <si>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</si>
  <si>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</si>
  <si>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</si>
  <si>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</si>
  <si>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</si>
  <si>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</si>
  <si>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</si>
  <si>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</si>
  <si>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</si>
  <si>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</si>
  <si>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</si>
  <si>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</si>
  <si>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</si>
  <si>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</si>
  <si>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</si>
  <si>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</si>
  <si>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</si>
  <si>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</si>
  <si>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</si>
  <si>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</si>
  <si>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</si>
  <si>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</si>
  <si>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</si>
  <si>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</si>
  <si>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</si>
  <si>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</si>
  <si>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</si>
  <si>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</si>
  <si>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</si>
  <si>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</si>
  <si>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</si>
  <si>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</si>
  <si>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</si>
  <si>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</si>
  <si>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</si>
  <si>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</si>
  <si>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</si>
  <si>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</si>
  <si>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</si>
  <si>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</si>
  <si>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</si>
  <si>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</si>
  <si>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</si>
  <si>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</si>
  <si>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</si>
  <si>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</si>
  <si>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</si>
  <si>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</si>
  <si>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</si>
  <si>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</si>
  <si>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</si>
  <si>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</si>
  <si>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</si>
  <si>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</si>
  <si>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</si>
  <si>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</si>
  <si>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</si>
  <si>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</si>
  <si>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</si>
  <si>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</si>
  <si>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</si>
  <si>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</si>
  <si>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</si>
  <si>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</si>
  <si>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</si>
  <si>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</si>
  <si>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</si>
  <si>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</si>
  <si>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</si>
  <si>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</si>
  <si>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</si>
  <si>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</si>
  <si>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</si>
  <si>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</si>
  <si>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</si>
  <si>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</si>
  <si>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</si>
  <si>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</si>
  <si>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</si>
  <si>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</si>
  <si>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</si>
  <si>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</si>
  <si>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</si>
  <si>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</si>
  <si>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</si>
  <si>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</si>
  <si>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</si>
  <si>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</si>
  <si>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</si>
  <si>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</si>
  <si>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</si>
  <si>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</si>
  <si>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</si>
  <si>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</si>
  <si>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</si>
  <si>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</si>
  <si>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</si>
  <si>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</si>
  <si>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</si>
  <si>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</si>
  <si>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</si>
  <si>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</si>
  <si>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</si>
  <si>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</si>
  <si>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</si>
  <si>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</si>
  <si>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</si>
  <si>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</si>
  <si>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</si>
  <si>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</si>
  <si>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</si>
  <si>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</si>
  <si>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</si>
  <si>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</si>
  <si>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</si>
  <si>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</si>
  <si>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</si>
  <si>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</si>
  <si>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</si>
  <si>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</si>
  <si>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</si>
  <si>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</si>
  <si>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</si>
  <si>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</si>
  <si>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</si>
  <si>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</si>
  <si>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</si>
  <si>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</si>
  <si>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</si>
  <si>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</si>
  <si>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</si>
  <si>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</si>
  <si>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</si>
  <si>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</si>
  <si>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</si>
  <si>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</si>
  <si>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</si>
  <si>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</si>
  <si>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</si>
  <si>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</si>
  <si>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</si>
  <si>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</si>
  <si>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</si>
  <si>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</si>
  <si>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</si>
  <si>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</si>
  <si>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</si>
  <si>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</si>
  <si>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</si>
  <si>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</si>
  <si>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</si>
  <si>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</si>
  <si>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</si>
  <si>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</si>
  <si>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</si>
  <si>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</si>
  <si>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</si>
  <si>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</si>
  <si>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</si>
  <si>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</si>
  <si>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</si>
  <si>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</si>
  <si>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</si>
  <si>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</si>
  <si>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</si>
  <si>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</si>
  <si>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</si>
  <si>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</si>
  <si>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</si>
  <si>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</si>
  <si>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</si>
  <si>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</si>
  <si>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</si>
  <si>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</si>
  <si>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</si>
  <si>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</si>
  <si>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</si>
  <si>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</si>
  <si>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</si>
  <si>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</si>
  <si>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</si>
  <si>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</si>
  <si>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</si>
  <si>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</si>
  <si>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</si>
  <si>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</si>
  <si>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</si>
  <si>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</si>
  <si>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</si>
  <si>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</si>
  <si>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</si>
  <si>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</si>
  <si>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</si>
  <si>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</si>
  <si>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</si>
  <si>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</si>
  <si>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</si>
  <si>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</si>
  <si>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</si>
  <si>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</si>
  <si>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</si>
  <si>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</si>
  <si>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</si>
  <si>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</si>
  <si>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</si>
  <si>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</si>
  <si>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</si>
  <si>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</si>
  <si>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</si>
  <si>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</si>
  <si>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</si>
  <si>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</si>
  <si>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</si>
  <si>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</si>
  <si>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</si>
  <si>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</si>
  <si>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</si>
  <si>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</si>
  <si>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</si>
  <si>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</si>
  <si>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</si>
  <si>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</si>
  <si>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</si>
  <si>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</si>
  <si>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</si>
  <si>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</si>
  <si>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</si>
  <si>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</si>
  <si>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</si>
  <si>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</si>
  <si>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</si>
  <si>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</si>
  <si>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</si>
  <si>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</si>
  <si>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</si>
  <si>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</si>
  <si>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</si>
  <si>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</si>
  <si>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</si>
  <si>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</si>
  <si>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</si>
  <si>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</si>
  <si>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</si>
  <si>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</si>
  <si>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</si>
  <si>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</si>
  <si>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</si>
  <si>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</si>
  <si>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</si>
  <si>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</si>
  <si>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</si>
  <si>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</si>
  <si>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</si>
  <si>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</si>
  <si>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</si>
  <si>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</si>
  <si>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</si>
  <si>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</si>
  <si>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</si>
  <si>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</si>
  <si>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</si>
  <si>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</si>
  <si>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</si>
  <si>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</si>
  <si>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</si>
  <si>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</si>
  <si>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</si>
  <si>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</si>
  <si>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</si>
  <si>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</si>
  <si>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</si>
  <si>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</si>
  <si>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</si>
  <si>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</si>
  <si>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</si>
  <si>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</si>
  <si>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</si>
  <si>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</si>
  <si>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</si>
  <si>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</si>
  <si>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</si>
  <si>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</si>
  <si>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</si>
  <si>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</si>
  <si>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</si>
  <si>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</si>
  <si>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</si>
  <si>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</si>
  <si>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</si>
  <si>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</si>
  <si>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</si>
  <si>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</si>
  <si>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</si>
  <si>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</si>
  <si>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</si>
  <si>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</si>
  <si>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</si>
  <si>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</si>
  <si>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</si>
  <si>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</si>
  <si>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</si>
  <si>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</si>
  <si>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</si>
  <si>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</si>
  <si>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</si>
  <si>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</si>
  <si>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</si>
  <si>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</si>
  <si>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</si>
  <si>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</si>
  <si>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</si>
  <si>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</si>
  <si>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</si>
  <si>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</si>
  <si>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</si>
  <si>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</si>
  <si>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</si>
  <si>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</si>
  <si>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</si>
  <si>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</si>
  <si>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</si>
  <si>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</si>
  <si>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</si>
  <si>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</si>
  <si>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</si>
  <si>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</si>
  <si>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</si>
  <si>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</si>
  <si>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</si>
  <si>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</si>
  <si>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</si>
  <si>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</si>
  <si>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</si>
  <si>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</si>
  <si>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</si>
  <si>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</si>
  <si>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</si>
  <si>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</si>
  <si>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</si>
  <si>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</si>
  <si>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</si>
  <si>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</si>
  <si>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</si>
  <si>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</si>
  <si>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</si>
  <si>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</si>
  <si>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</si>
  <si>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</si>
  <si>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</si>
  <si>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</si>
  <si>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</si>
  <si>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</si>
  <si>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</si>
  <si>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</si>
  <si>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</si>
  <si>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</si>
  <si>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</si>
  <si>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</si>
  <si>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</si>
  <si>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</si>
  <si>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</si>
  <si>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</si>
  <si>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</si>
  <si>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</si>
  <si>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</si>
  <si>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</si>
  <si>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</si>
  <si>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</si>
  <si>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</si>
  <si>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</si>
  <si>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</si>
  <si>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</si>
  <si>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</si>
  <si>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</si>
  <si>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</si>
  <si>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</si>
  <si>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</si>
  <si>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</si>
  <si>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</si>
  <si>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</si>
  <si>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</si>
  <si>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</si>
  <si>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</si>
  <si>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</si>
  <si>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</si>
  <si>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</si>
  <si>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</si>
  <si>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</si>
  <si>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</si>
  <si>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</si>
  <si>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</si>
  <si>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</si>
  <si>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</si>
  <si>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</si>
  <si>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</si>
  <si>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</si>
  <si>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</si>
  <si>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</si>
  <si>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</si>
  <si>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</si>
  <si>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</si>
  <si>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</si>
  <si>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</si>
  <si>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</si>
  <si>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</si>
  <si>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</si>
  <si>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</si>
  <si>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</si>
  <si>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</si>
  <si>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</si>
  <si>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</si>
  <si>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</si>
  <si>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</si>
  <si>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</si>
  <si>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</si>
  <si>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</si>
  <si>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</si>
  <si>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</si>
  <si>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</si>
  <si>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</si>
  <si>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</si>
  <si>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</si>
  <si>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</si>
  <si>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</si>
  <si>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</si>
  <si>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</si>
  <si>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</si>
  <si>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</si>
  <si>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</si>
  <si>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</si>
  <si>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</si>
  <si>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</si>
  <si>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</si>
  <si>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</si>
  <si>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</si>
  <si>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</si>
  <si>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</si>
  <si>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</si>
  <si>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</si>
  <si>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</si>
  <si>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</si>
  <si>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</si>
  <si>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</si>
  <si>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</si>
  <si>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</si>
  <si>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</si>
  <si>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</si>
  <si>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</si>
  <si>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</si>
  <si>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</si>
  <si>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</si>
  <si>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</si>
  <si>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</si>
  <si>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</si>
  <si>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</si>
  <si>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</si>
  <si>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</si>
  <si>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</si>
  <si>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</si>
  <si>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</si>
  <si>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</si>
  <si>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</si>
  <si>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</si>
  <si>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</si>
  <si>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</si>
  <si>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</si>
  <si>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</si>
  <si>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</si>
  <si>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</si>
  <si>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</si>
  <si>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</si>
  <si>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</si>
  <si>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</si>
  <si>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</si>
  <si>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</si>
  <si>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</si>
  <si>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</si>
  <si>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</si>
  <si>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</si>
  <si>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</si>
  <si>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</si>
  <si>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</si>
  <si>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</si>
  <si>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</si>
  <si>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</si>
  <si>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</si>
  <si>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</si>
  <si>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</si>
  <si>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</si>
  <si>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</si>
  <si>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</si>
  <si>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</si>
  <si>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</si>
  <si>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</si>
  <si>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</si>
  <si>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</si>
  <si>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</si>
  <si>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</si>
  <si>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</si>
  <si>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</si>
  <si>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</si>
  <si>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</si>
  <si>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</si>
  <si>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</si>
  <si>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</si>
  <si>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</si>
  <si>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</si>
  <si>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</si>
  <si>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</si>
  <si>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</si>
  <si>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</si>
  <si>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</si>
  <si>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</si>
  <si>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</si>
  <si>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</si>
  <si>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</si>
  <si>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</si>
  <si>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</si>
  <si>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</si>
  <si>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</si>
  <si>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</si>
  <si>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</si>
  <si>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</si>
  <si>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</si>
  <si>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</si>
  <si>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</si>
  <si>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</si>
  <si>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</si>
  <si>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</si>
  <si>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</si>
  <si>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</si>
  <si>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</si>
  <si>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</si>
  <si>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</si>
  <si>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</si>
  <si>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</si>
  <si>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</si>
  <si>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</si>
  <si>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</si>
  <si>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</si>
  <si>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</si>
  <si>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</si>
  <si>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</si>
  <si>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</si>
  <si>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</si>
  <si>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</si>
  <si>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</si>
  <si>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</si>
  <si>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</si>
  <si>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</si>
  <si>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</si>
  <si>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</si>
  <si>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</si>
  <si>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</si>
  <si>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</si>
  <si>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</si>
  <si>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</si>
  <si>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</si>
  <si>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</si>
  <si>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</si>
  <si>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</si>
  <si>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</si>
  <si>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</si>
  <si>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</si>
  <si>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</si>
  <si>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</si>
  <si>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</si>
  <si>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</si>
  <si>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</si>
  <si>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</si>
  <si>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</si>
  <si>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</si>
  <si>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</si>
  <si>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</si>
  <si>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</si>
  <si>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</si>
  <si>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</si>
  <si>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</si>
  <si>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</si>
  <si>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</si>
  <si>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</si>
  <si>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</si>
  <si>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</si>
  <si>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</si>
  <si>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</si>
  <si>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</si>
  <si>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</si>
  <si>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</si>
  <si>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</si>
  <si>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</si>
  <si>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</si>
  <si>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</si>
  <si>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</si>
  <si>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</si>
  <si>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</si>
  <si>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</si>
  <si>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</si>
  <si>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</si>
  <si>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</si>
  <si>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</si>
  <si>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</si>
  <si>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</si>
  <si>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</si>
  <si>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</si>
  <si>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</si>
  <si>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</si>
  <si>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</si>
  <si>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</si>
  <si>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</si>
  <si>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</si>
  <si>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</si>
  <si>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</si>
  <si>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</si>
  <si>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</si>
  <si>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</si>
  <si>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</si>
  <si>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</si>
  <si>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</si>
  <si>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</si>
  <si>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</si>
  <si>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</si>
  <si>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</si>
  <si>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</si>
  <si>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</si>
  <si>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</si>
  <si>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</si>
  <si>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</si>
  <si>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</si>
  <si>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</si>
  <si>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</si>
  <si>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</si>
  <si>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</si>
  <si>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</si>
  <si>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</si>
  <si>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</si>
  <si>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</si>
  <si>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</si>
  <si>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</si>
  <si>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</si>
  <si>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</si>
  <si>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</si>
  <si>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</si>
  <si>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</si>
  <si>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</si>
  <si>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</si>
  <si>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</si>
  <si>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</si>
  <si>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</si>
  <si>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</si>
  <si>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</si>
  <si>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</si>
  <si>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</si>
  <si>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</si>
  <si>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</si>
  <si>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</si>
  <si>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</si>
  <si>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</si>
  <si>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</si>
  <si>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</si>
  <si>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</si>
  <si>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</si>
  <si>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</si>
  <si>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</si>
  <si>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</si>
  <si>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</si>
  <si>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</si>
  <si>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</si>
  <si>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</si>
  <si>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</si>
  <si>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</si>
  <si>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</si>
  <si>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</si>
  <si>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</si>
  <si>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</si>
  <si>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</si>
  <si>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</si>
  <si>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</si>
  <si>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</si>
  <si>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</si>
  <si>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</si>
  <si>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</si>
  <si>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</si>
  <si>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</si>
  <si>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</si>
  <si>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</si>
  <si>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</si>
  <si>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</si>
  <si>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</si>
  <si>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</si>
  <si>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</si>
  <si>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</si>
  <si>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</si>
  <si>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</si>
  <si>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</si>
  <si>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</si>
  <si>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</si>
  <si>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</si>
  <si>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</si>
  <si>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</si>
  <si>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</si>
  <si>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</si>
  <si>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</si>
  <si>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</si>
  <si>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</si>
  <si>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</si>
  <si>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</si>
  <si>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</si>
  <si>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</si>
  <si>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</si>
  <si>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</si>
  <si>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</si>
  <si>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</si>
  <si>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</si>
  <si>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</si>
  <si>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</si>
  <si>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</si>
  <si>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</si>
  <si>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</si>
  <si>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</si>
  <si>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</si>
  <si>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</si>
  <si>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</si>
  <si>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</si>
  <si>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</si>
  <si>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</si>
  <si>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</si>
  <si>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</si>
  <si>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</si>
  <si>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</si>
  <si>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</si>
  <si>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</si>
  <si>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</si>
  <si>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</si>
  <si>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</si>
  <si>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</si>
  <si>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</si>
  <si>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</si>
  <si>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</si>
  <si>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</si>
  <si>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</si>
  <si>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</si>
  <si>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</si>
  <si>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</si>
  <si>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</si>
  <si>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</si>
  <si>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</si>
  <si>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</si>
  <si>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</si>
  <si>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</si>
  <si>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</si>
  <si>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</si>
  <si>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</si>
  <si>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</si>
  <si>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</si>
  <si>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</si>
  <si>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</si>
  <si>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</si>
  <si>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</si>
  <si>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</si>
  <si>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</si>
  <si>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</si>
  <si>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</si>
  <si>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</si>
  <si>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</si>
  <si>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</si>
  <si>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</si>
  <si>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</si>
  <si>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</si>
  <si>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</si>
  <si>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</si>
  <si>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</si>
  <si>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</si>
  <si>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</si>
  <si>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</si>
  <si>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</si>
  <si>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</si>
  <si>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</si>
  <si>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</si>
  <si>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</si>
  <si>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</si>
  <si>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</si>
  <si>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</si>
  <si>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</si>
  <si>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</si>
  <si>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</si>
  <si>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</si>
  <si>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</si>
  <si>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</si>
  <si>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</si>
  <si>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</si>
  <si>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</si>
  <si>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</si>
  <si>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</si>
  <si>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</si>
  <si>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</si>
  <si>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</si>
  <si>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</si>
  <si>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</si>
  <si>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</si>
  <si>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</si>
  <si>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</si>
  <si>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</si>
  <si>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</si>
  <si>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</si>
  <si>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</si>
  <si>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</si>
  <si>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</si>
  <si>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</si>
  <si>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</si>
  <si>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</si>
  <si>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</si>
  <si>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</si>
  <si>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</si>
  <si>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</si>
  <si>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</si>
  <si>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</si>
  <si>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</si>
  <si>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</si>
  <si>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</si>
  <si>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</si>
  <si>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</si>
  <si>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</si>
  <si>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</si>
  <si>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</si>
  <si>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</si>
  <si>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</si>
  <si>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</si>
  <si>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</si>
  <si>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</si>
  <si>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</si>
  <si>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</si>
  <si>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</si>
  <si>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</si>
  <si>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</si>
  <si>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</si>
  <si>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</si>
  <si>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</si>
  <si>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</si>
  <si>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</si>
  <si>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</si>
  <si>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</si>
  <si>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</si>
  <si>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</si>
  <si>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</si>
  <si>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</si>
  <si>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</si>
  <si>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</si>
  <si>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</si>
  <si>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</si>
  <si>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</si>
  <si>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</si>
  <si>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</si>
  <si>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</si>
  <si>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</si>
  <si>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</si>
  <si>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</si>
  <si>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</si>
  <si>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</si>
  <si>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</si>
  <si>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</si>
  <si>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</si>
  <si>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</si>
  <si>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</si>
  <si>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</si>
  <si>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</si>
  <si>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</si>
  <si>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</si>
  <si>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</si>
  <si>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</si>
  <si>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</si>
  <si>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</si>
  <si>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</si>
  <si>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</si>
  <si>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</si>
  <si>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</si>
  <si>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</si>
  <si>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</si>
  <si>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</si>
  <si>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</si>
  <si>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</si>
  <si>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</si>
  <si>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</si>
  <si>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</si>
  <si>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</si>
  <si>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</si>
  <si>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</si>
  <si>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</si>
  <si>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</si>
  <si>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</si>
  <si>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</si>
  <si>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</si>
  <si>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</si>
  <si>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</si>
  <si>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</si>
  <si>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</si>
  <si>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</si>
  <si>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</si>
  <si>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</si>
  <si>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</si>
  <si>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</si>
  <si>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</si>
  <si>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</si>
  <si>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</si>
  <si>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</si>
  <si>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</si>
  <si>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</si>
  <si>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</si>
  <si>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</si>
  <si>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</si>
  <si>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</si>
  <si>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</si>
  <si>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</si>
  <si>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</si>
  <si>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</si>
  <si>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</si>
  <si>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</si>
  <si>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</si>
  <si>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</si>
  <si>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</si>
  <si>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</si>
  <si>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</si>
  <si>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</si>
  <si>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</si>
  <si>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</si>
  <si>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</si>
  <si>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</si>
  <si>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</si>
  <si>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</si>
  <si>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</si>
  <si>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</si>
  <si>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</si>
  <si>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</si>
  <si>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</si>
  <si>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</si>
  <si>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</si>
  <si>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</si>
  <si>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</si>
  <si>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</si>
  <si>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</si>
  <si>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</si>
  <si>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</si>
  <si>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</si>
  <si>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</si>
  <si>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</si>
  <si>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</si>
  <si>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</si>
  <si>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</si>
  <si>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</si>
  <si>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</si>
  <si>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</si>
  <si>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</si>
  <si>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</si>
  <si>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</si>
  <si>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</si>
  <si>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</si>
  <si>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</si>
  <si>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</si>
  <si>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</si>
  <si>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</si>
  <si>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</si>
  <si>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</si>
  <si>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</si>
  <si>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</si>
  <si>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</si>
  <si>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</si>
  <si>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</si>
  <si>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</si>
  <si>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</si>
  <si>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</si>
  <si>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</si>
  <si>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</si>
  <si>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</si>
  <si>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</si>
  <si>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</si>
  <si>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</si>
  <si>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</si>
  <si>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</si>
  <si>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</si>
  <si>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</si>
  <si>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</si>
  <si>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</si>
  <si>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</si>
  <si>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</si>
  <si>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</si>
  <si>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</si>
  <si>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</si>
  <si>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</si>
  <si>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</si>
  <si>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</si>
  <si>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</si>
  <si>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</si>
  <si>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</si>
  <si>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</si>
  <si>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</si>
  <si>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</si>
  <si>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</si>
  <si>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</si>
  <si>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</si>
  <si>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</si>
  <si>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</si>
  <si>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</si>
  <si>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</si>
  <si>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</si>
  <si>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</si>
  <si>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</si>
  <si>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</si>
  <si>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</si>
  <si>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</si>
  <si>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</si>
  <si>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</si>
  <si>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</si>
  <si>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</si>
  <si>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</si>
  <si>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</si>
  <si>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</si>
  <si>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</si>
  <si>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</si>
  <si>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</si>
  <si>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</si>
  <si>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</si>
  <si>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</si>
  <si>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</si>
  <si>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</si>
  <si>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</si>
  <si>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</si>
  <si>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</si>
  <si>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</si>
  <si>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</si>
  <si>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</si>
  <si>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</si>
  <si>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</si>
  <si>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</si>
  <si>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</si>
  <si>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</si>
  <si>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</si>
  <si>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</si>
  <si>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</si>
  <si>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</si>
  <si>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</si>
  <si>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</si>
  <si>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</si>
  <si>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</si>
  <si>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</si>
  <si>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</si>
  <si>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</si>
  <si>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</si>
  <si>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</si>
  <si>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</si>
  <si>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</si>
  <si>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</si>
  <si>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</si>
  <si>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</si>
  <si>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</si>
  <si>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</si>
  <si>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</si>
  <si>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</si>
  <si>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</si>
  <si>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</si>
  <si>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</si>
  <si>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</si>
  <si>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</si>
  <si>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</si>
  <si>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</si>
  <si>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</si>
  <si>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</si>
  <si>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</si>
  <si>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</si>
  <si>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</si>
  <si>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</si>
  <si>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</si>
  <si>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</si>
  <si>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</si>
  <si>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</si>
  <si>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</si>
  <si>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</si>
  <si>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</si>
  <si>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</si>
  <si>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</si>
  <si>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</si>
  <si>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</si>
  <si>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</si>
  <si>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</si>
  <si>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</si>
  <si>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</si>
  <si>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</si>
  <si>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</si>
  <si>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</si>
  <si>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</si>
  <si>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</si>
  <si>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</si>
  <si>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</si>
  <si>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</si>
  <si>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</si>
  <si>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</si>
  <si>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</si>
  <si>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</si>
  <si>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</si>
  <si>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</si>
  <si>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</si>
  <si>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</si>
  <si>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</si>
  <si>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</si>
  <si>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</si>
  <si>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</si>
  <si>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</si>
  <si>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</si>
  <si>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</si>
  <si>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</si>
  <si>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</si>
  <si>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</si>
  <si>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</si>
  <si>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</si>
  <si>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</si>
  <si>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</si>
  <si>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</si>
  <si>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</si>
  <si>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</si>
  <si>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</si>
  <si>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</si>
  <si>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</si>
  <si>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</si>
  <si>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</si>
  <si>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</si>
  <si>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</si>
  <si>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</si>
  <si>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</si>
  <si>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</si>
  <si>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</si>
  <si>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</si>
  <si>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</si>
  <si>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</si>
  <si>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</si>
  <si>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</si>
  <si>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</si>
  <si>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</si>
  <si>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</si>
  <si>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</si>
  <si>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</si>
  <si>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</si>
  <si>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</si>
  <si>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</si>
  <si>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</si>
  <si>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</si>
  <si>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</si>
  <si>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</si>
  <si>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</si>
  <si>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</si>
  <si>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</si>
  <si>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</si>
  <si>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</si>
  <si>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</si>
  <si>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</si>
  <si>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</si>
  <si>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</si>
  <si>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</si>
  <si>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</si>
  <si>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</si>
  <si>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</si>
  <si>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</si>
  <si>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</si>
  <si>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</si>
  <si>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</si>
  <si>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</si>
  <si>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</si>
  <si>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</si>
  <si>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</si>
  <si>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</si>
  <si>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</si>
  <si>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</si>
  <si>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</si>
  <si>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</si>
  <si>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</si>
  <si>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</si>
  <si>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</si>
  <si>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</si>
  <si>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</si>
  <si>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</si>
  <si>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</si>
  <si>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</si>
  <si>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</si>
  <si>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</si>
  <si>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</si>
  <si>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</si>
  <si>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</si>
  <si>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</si>
  <si>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</si>
  <si>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</si>
  <si>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</si>
  <si>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</si>
  <si>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</si>
  <si>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</si>
  <si>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</si>
  <si>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</si>
  <si>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</si>
  <si>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</si>
  <si>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</si>
  <si>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</si>
  <si>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</si>
  <si>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</si>
  <si>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</si>
  <si>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</si>
  <si>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</si>
  <si>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</si>
  <si>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</si>
  <si>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</si>
  <si>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</si>
  <si>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</si>
  <si>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</si>
  <si>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</si>
  <si>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</si>
  <si>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</si>
  <si>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</si>
  <si>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</si>
  <si>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</si>
  <si>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</si>
  <si>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</si>
  <si>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</si>
  <si>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</si>
  <si>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</si>
  <si>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</si>
  <si>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</si>
  <si>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</si>
  <si>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</si>
  <si>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</si>
  <si>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</si>
  <si>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</si>
  <si>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</si>
  <si>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</si>
  <si>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</si>
  <si>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</si>
  <si>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</si>
  <si>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</si>
  <si>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</si>
  <si>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</si>
  <si>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</si>
  <si>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</si>
  <si>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</si>
  <si>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</si>
  <si>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</si>
  <si>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</si>
  <si>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</si>
  <si>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</si>
  <si>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</si>
  <si>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</si>
  <si>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</si>
  <si>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</si>
  <si>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</si>
  <si>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</si>
  <si>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</si>
  <si>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</si>
  <si>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</si>
  <si>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</si>
  <si>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</si>
  <si>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</si>
  <si>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</si>
  <si>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</si>
  <si>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</si>
  <si>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</si>
  <si>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</si>
  <si>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</si>
  <si>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</si>
  <si>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</si>
  <si>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</si>
  <si>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</si>
  <si>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</si>
  <si>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</si>
  <si>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</si>
  <si>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</si>
  <si>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</si>
  <si>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</si>
  <si>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</si>
  <si>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</si>
  <si>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</si>
  <si>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</si>
  <si>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</si>
  <si>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</si>
  <si>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</si>
  <si>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</si>
  <si>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</si>
  <si>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</si>
  <si>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</si>
  <si>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</si>
  <si>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</si>
  <si>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</si>
  <si>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</si>
  <si>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</si>
  <si>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</si>
  <si>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</si>
  <si>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</si>
  <si>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</si>
  <si>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</si>
  <si>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</si>
  <si>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</si>
  <si>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</si>
  <si>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</si>
  <si>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</si>
  <si>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</si>
  <si>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</si>
  <si>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</si>
  <si>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</si>
  <si>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</si>
  <si>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</si>
  <si>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</si>
  <si>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</si>
  <si>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</si>
  <si>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</si>
  <si>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</si>
  <si>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</si>
  <si>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</si>
  <si>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</si>
  <si>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</si>
  <si>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</si>
  <si>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</si>
  <si>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</si>
  <si>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</si>
  <si>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</si>
  <si>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</si>
  <si>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</si>
  <si>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</si>
  <si>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</si>
  <si>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</si>
  <si>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</si>
  <si>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</si>
  <si>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</si>
  <si>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</si>
  <si>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</si>
  <si>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</si>
  <si>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</si>
  <si>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</si>
  <si>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</si>
  <si>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</si>
  <si>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</si>
  <si>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</si>
  <si>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</si>
  <si>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</si>
  <si>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</si>
  <si>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</si>
  <si>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</si>
  <si>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</si>
  <si>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</si>
  <si>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</si>
  <si>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</si>
  <si>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</si>
  <si>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</si>
  <si>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</si>
  <si>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</si>
  <si>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</si>
  <si>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</si>
  <si>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</si>
  <si>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</si>
  <si>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</si>
  <si>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</si>
  <si>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</si>
  <si>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</si>
  <si>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</si>
  <si>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</si>
  <si>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</si>
  <si>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</si>
  <si>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</si>
  <si>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</si>
  <si>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</si>
  <si>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</si>
  <si>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</si>
  <si>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</si>
  <si>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</si>
  <si>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</si>
  <si>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</si>
  <si>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</si>
  <si>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</si>
  <si>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</si>
  <si>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</si>
  <si>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</si>
  <si>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</si>
  <si>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</si>
  <si>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</si>
  <si>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</si>
  <si>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</si>
  <si>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</si>
  <si>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</si>
  <si>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</si>
  <si>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</si>
  <si>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</si>
  <si>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</si>
  <si>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</si>
  <si>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</si>
  <si>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</si>
  <si>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</si>
  <si>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</si>
  <si>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</si>
  <si>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</si>
  <si>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</si>
  <si>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</si>
  <si>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</si>
  <si>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</si>
  <si>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</si>
  <si>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</si>
  <si>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</si>
  <si>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</si>
  <si>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</si>
  <si>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</si>
  <si>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</si>
  <si>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</si>
  <si>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</si>
  <si>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</si>
  <si>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</si>
  <si>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</si>
  <si>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</si>
  <si>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</si>
  <si>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</si>
  <si>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</si>
  <si>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</si>
  <si>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</si>
  <si>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</si>
  <si>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</si>
  <si>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</si>
  <si>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</si>
  <si>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</si>
  <si>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</si>
  <si>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</si>
  <si>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</si>
  <si>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</si>
  <si>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</si>
  <si>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</si>
  <si>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</si>
  <si>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</si>
  <si>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</si>
  <si>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</si>
  <si>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</si>
  <si>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</si>
  <si>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</si>
  <si>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</si>
  <si>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</si>
  <si>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</si>
  <si>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</si>
  <si>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</si>
  <si>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</si>
  <si>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</si>
  <si>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</si>
  <si>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</si>
  <si>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</si>
  <si>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</si>
  <si>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</si>
  <si>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</si>
  <si>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</si>
  <si>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</si>
  <si>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</si>
  <si>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</si>
  <si>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</si>
  <si>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</si>
  <si>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</si>
  <si>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</si>
  <si>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</si>
  <si>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</si>
  <si>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</si>
  <si>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</si>
  <si>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</si>
  <si>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</si>
  <si>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</si>
  <si>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</si>
  <si>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</si>
  <si>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</si>
  <si>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</si>
  <si>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</si>
  <si>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</si>
  <si>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</si>
  <si>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</si>
  <si>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</si>
  <si>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</si>
  <si>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</si>
  <si>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</si>
  <si>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</si>
  <si>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</si>
  <si>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</si>
  <si>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</si>
  <si>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</si>
  <si>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</si>
  <si>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</si>
  <si>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</si>
  <si>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</si>
  <si>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</si>
  <si>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</si>
  <si>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</si>
  <si>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</si>
  <si>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</si>
  <si>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</si>
  <si>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</si>
  <si>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</si>
  <si>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</si>
  <si>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</si>
  <si>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</si>
  <si>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</si>
  <si>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</si>
  <si>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</si>
  <si>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</si>
  <si>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</si>
  <si>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</si>
  <si>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</si>
  <si>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</si>
  <si>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</si>
  <si>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</si>
  <si>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</si>
  <si>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</si>
  <si>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</si>
  <si>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</si>
  <si>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</si>
  <si>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</si>
  <si>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</si>
  <si>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</si>
  <si>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</si>
  <si>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</si>
  <si>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</si>
  <si>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</si>
  <si>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</si>
  <si>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</si>
  <si>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</si>
  <si>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</si>
  <si>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</si>
  <si>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</si>
  <si>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</si>
  <si>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</si>
  <si>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</si>
  <si>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</si>
  <si>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</si>
  <si>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</si>
  <si>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</si>
  <si>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</si>
  <si>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</si>
  <si>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</si>
  <si>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</si>
  <si>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</si>
  <si>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</si>
  <si>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</si>
  <si>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</si>
  <si>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</si>
  <si>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</si>
  <si>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</si>
  <si>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</si>
  <si>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</si>
  <si>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</si>
  <si>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</si>
  <si>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</si>
  <si>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</si>
  <si>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</si>
  <si>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</si>
  <si>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</si>
  <si>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</si>
  <si>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</si>
  <si>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</si>
  <si>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</si>
  <si>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</si>
  <si>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</si>
  <si>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</si>
  <si>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</si>
  <si>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</si>
  <si>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</si>
  <si>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</si>
  <si>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</si>
  <si>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</si>
  <si>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</si>
  <si>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</si>
  <si>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</si>
  <si>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</si>
  <si>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</si>
  <si>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</si>
  <si>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</si>
  <si>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</si>
  <si>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</si>
  <si>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</si>
  <si>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</si>
  <si>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</si>
  <si>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</si>
  <si>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</si>
  <si>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</si>
  <si>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</si>
  <si>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</si>
  <si>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</si>
  <si>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</si>
  <si>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</si>
  <si>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</si>
  <si>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</si>
  <si>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</si>
  <si>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</si>
  <si>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</si>
  <si>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</si>
  <si>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</si>
  <si>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</si>
  <si>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</si>
  <si>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</si>
  <si>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</si>
  <si>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</si>
  <si>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</si>
  <si>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</si>
  <si>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</si>
  <si>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</si>
  <si>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</si>
  <si>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</si>
  <si>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</si>
  <si>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</si>
  <si>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</si>
  <si>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</si>
  <si>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</si>
  <si>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</si>
  <si>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</si>
  <si>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</si>
  <si>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</si>
  <si>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</si>
  <si>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</si>
  <si>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</si>
  <si>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</si>
  <si>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</si>
  <si>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</si>
  <si>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</si>
  <si>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</si>
  <si>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</si>
  <si>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</si>
  <si>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</si>
  <si>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</si>
  <si>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</si>
  <si>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</si>
  <si>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</si>
  <si>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</si>
  <si>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</si>
  <si>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</si>
  <si>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</si>
  <si>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</si>
  <si>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</si>
  <si>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</si>
  <si>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</si>
  <si>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</si>
  <si>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</si>
  <si>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</si>
  <si>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</si>
  <si>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</si>
  <si>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</si>
  <si>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</si>
  <si>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</si>
  <si>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</si>
  <si>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</si>
  <si>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</si>
  <si>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</si>
  <si>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</si>
  <si>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</si>
  <si>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</si>
  <si>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</si>
  <si>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</si>
  <si>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</si>
  <si>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</si>
  <si>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</si>
  <si>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</si>
  <si>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</si>
  <si>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</si>
  <si>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</si>
  <si>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</si>
  <si>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</si>
  <si>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</si>
  <si>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</si>
  <si>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</si>
  <si>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</si>
  <si>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</si>
  <si>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</si>
  <si>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</si>
  <si>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</si>
  <si>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</si>
  <si>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</si>
  <si>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</si>
  <si>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</si>
  <si>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</si>
  <si>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</si>
  <si>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</si>
  <si>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</si>
  <si>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</si>
  <si>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</si>
  <si>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</si>
  <si>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</si>
  <si>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</si>
  <si>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</si>
  <si>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</si>
  <si>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</si>
  <si>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</si>
  <si>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</si>
  <si>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</si>
  <si>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</si>
  <si>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</si>
  <si>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</si>
  <si>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</si>
  <si>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</si>
  <si>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</si>
  <si>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</si>
  <si>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</si>
  <si>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</si>
  <si>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</si>
  <si>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</si>
  <si>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</si>
  <si>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</si>
  <si>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</si>
  <si>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</si>
  <si>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</si>
  <si>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</si>
  <si>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</si>
  <si>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</si>
  <si>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</si>
  <si>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</si>
  <si>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</si>
  <si>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</si>
  <si>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</si>
  <si>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</si>
  <si>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</si>
  <si>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</si>
  <si>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</si>
  <si>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</si>
  <si>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</si>
  <si>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</si>
  <si>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</si>
  <si>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</si>
  <si>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</si>
  <si>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</si>
  <si>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</si>
  <si>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</si>
  <si>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</si>
  <si>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</si>
  <si>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</si>
  <si>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</si>
  <si>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</si>
  <si>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</si>
  <si>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</si>
  <si>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</si>
  <si>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</si>
  <si>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</si>
  <si>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</si>
  <si>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</si>
  <si>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</si>
  <si>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</si>
  <si>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</si>
  <si>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</si>
  <si>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</si>
  <si>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</si>
  <si>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</si>
  <si>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</si>
  <si>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</si>
  <si>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</si>
  <si>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</si>
  <si>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</si>
  <si>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</si>
  <si>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</si>
  <si>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</si>
  <si>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</si>
  <si>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</si>
  <si>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</si>
  <si>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</si>
  <si>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</si>
  <si>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</si>
  <si>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</si>
  <si>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</si>
  <si>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</si>
  <si>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</si>
  <si>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</si>
  <si>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</si>
  <si>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</si>
  <si>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</si>
  <si>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</si>
  <si>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</si>
  <si>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</si>
  <si>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</si>
  <si>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</si>
  <si>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</si>
  <si>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</si>
  <si>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</si>
  <si>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</si>
  <si>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</si>
  <si>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</si>
  <si>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</si>
  <si>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</si>
  <si>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</si>
  <si>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</si>
  <si>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</si>
  <si>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</si>
  <si>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</si>
  <si>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</si>
  <si>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</si>
  <si>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</si>
  <si>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</si>
  <si>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</si>
  <si>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</si>
  <si>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</si>
  <si>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</si>
  <si>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</si>
  <si>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</si>
  <si>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</si>
  <si>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</si>
  <si>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</si>
  <si>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</si>
  <si>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</si>
  <si>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</si>
  <si>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</si>
  <si>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</si>
  <si>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</si>
  <si>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</si>
  <si>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</si>
  <si>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</si>
  <si>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</si>
  <si>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</si>
  <si>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</si>
  <si>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</si>
  <si>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</si>
  <si>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</si>
  <si>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</si>
  <si>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</si>
  <si>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</si>
  <si>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</si>
  <si>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</si>
  <si>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</si>
  <si>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</si>
  <si>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</si>
  <si>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</si>
  <si>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</si>
  <si>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</si>
  <si>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</si>
  <si>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</si>
  <si>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</si>
  <si>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</si>
  <si>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</si>
  <si>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</si>
  <si>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</si>
  <si>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</si>
  <si>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</si>
  <si>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</si>
  <si>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</si>
  <si>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</si>
  <si>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</si>
  <si>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</si>
  <si>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</si>
  <si>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</si>
  <si>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</si>
  <si>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</si>
  <si>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</si>
  <si>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</si>
  <si>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</si>
  <si>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</si>
  <si>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</si>
  <si>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</si>
  <si>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</si>
  <si>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</si>
  <si>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</si>
  <si>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</si>
  <si>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</si>
  <si>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</si>
  <si>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</si>
  <si>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</si>
  <si>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</si>
  <si>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</si>
  <si>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</si>
  <si>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</si>
  <si>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</si>
  <si>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</si>
  <si>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</si>
  <si>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</si>
  <si>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</si>
  <si>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</si>
  <si>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</si>
  <si>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</si>
  <si>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</si>
  <si>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</si>
  <si>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</si>
  <si>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</si>
  <si>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</si>
  <si>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</si>
  <si>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</si>
  <si>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</si>
  <si>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</si>
  <si>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</si>
  <si>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</si>
  <si>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</si>
  <si>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</si>
  <si>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</si>
  <si>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</si>
  <si>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</si>
  <si>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</si>
  <si>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</si>
  <si>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</si>
  <si>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</si>
  <si>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</si>
  <si>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</si>
  <si>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</si>
  <si>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</si>
  <si>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</si>
  <si>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</si>
  <si>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</si>
  <si>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</si>
  <si>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</si>
  <si>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</si>
  <si>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</si>
  <si>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</si>
  <si>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</si>
  <si>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</si>
  <si>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</si>
  <si>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</si>
  <si>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</si>
  <si>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</si>
  <si>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</si>
  <si>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</si>
  <si>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</si>
  <si>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</si>
  <si>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</si>
  <si>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</si>
  <si>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</si>
  <si>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</si>
  <si>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</si>
  <si>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</si>
  <si>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</si>
  <si>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</si>
  <si>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</si>
  <si>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</si>
  <si>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</si>
  <si>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</si>
  <si>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</si>
  <si>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</si>
  <si>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</si>
  <si>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</si>
  <si>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</si>
  <si>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</si>
  <si>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</si>
  <si>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</si>
  <si>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</si>
  <si>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</si>
  <si>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</si>
  <si>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</si>
  <si>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</si>
  <si>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</si>
  <si>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</si>
  <si>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</si>
  <si>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</si>
  <si>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</si>
  <si>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</si>
  <si>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</si>
  <si>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</si>
  <si>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</si>
  <si>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</si>
  <si>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</si>
  <si>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</si>
  <si>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</si>
  <si>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</si>
  <si>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</si>
  <si>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</si>
  <si>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</si>
  <si>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</si>
  <si>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</si>
  <si>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</si>
  <si>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</si>
  <si>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</si>
  <si>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</si>
  <si>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</si>
  <si>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</si>
  <si>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</si>
  <si>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</si>
  <si>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</si>
  <si>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</si>
  <si>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</si>
  <si>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</si>
  <si>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</si>
  <si>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</si>
  <si>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</si>
  <si>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</si>
  <si>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</si>
  <si>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</si>
  <si>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</si>
  <si>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</si>
  <si>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</si>
  <si>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</si>
  <si>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</si>
  <si>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</si>
  <si>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</si>
  <si>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</si>
  <si>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</si>
  <si>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</si>
  <si>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</si>
  <si>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</si>
  <si>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</si>
  <si>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</si>
  <si>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</si>
  <si>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</si>
  <si>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</si>
  <si>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</si>
  <si>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</si>
  <si>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</si>
  <si>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</si>
  <si>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</si>
  <si>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</si>
  <si>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</si>
  <si>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</si>
  <si>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</si>
  <si>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</si>
  <si>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</si>
  <si>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</si>
  <si>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</si>
  <si>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</si>
  <si>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</si>
  <si>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</si>
  <si>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</si>
  <si>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</si>
  <si>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</si>
  <si>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</si>
  <si>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</si>
  <si>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</si>
  <si>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</si>
  <si>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</si>
  <si>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</si>
  <si>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</si>
  <si>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</si>
  <si>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</si>
  <si>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</si>
  <si>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</si>
  <si>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</si>
  <si>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</si>
  <si>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</si>
  <si>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</si>
  <si>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</si>
  <si>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</si>
  <si>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</si>
  <si>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</si>
  <si>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</si>
  <si>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</si>
  <si>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</si>
  <si>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</si>
  <si>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</si>
  <si>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</si>
  <si>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</si>
  <si>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</si>
  <si>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</si>
  <si>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</si>
  <si>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</si>
  <si>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</si>
  <si>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</si>
  <si>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</si>
  <si>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</si>
  <si>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</si>
  <si>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</si>
  <si>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</si>
  <si>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</si>
  <si>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</si>
  <si>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</si>
  <si>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</si>
  <si>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</si>
  <si>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</si>
  <si>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</si>
  <si>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</si>
  <si>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</si>
  <si>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</si>
  <si>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</si>
  <si>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</si>
  <si>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</si>
  <si>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</si>
  <si>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</si>
  <si>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</si>
  <si>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</si>
  <si>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</si>
  <si>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</si>
  <si>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</si>
  <si>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</si>
  <si>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</si>
  <si>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</si>
  <si>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</si>
  <si>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</si>
  <si>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</si>
  <si>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</si>
  <si>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</si>
  <si>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</si>
  <si>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</si>
  <si>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</si>
  <si>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</si>
  <si>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</si>
  <si>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</si>
  <si>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</si>
  <si>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</si>
  <si>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</si>
  <si>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</si>
  <si>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</si>
  <si>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</si>
  <si>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</si>
  <si>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</si>
  <si>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</si>
  <si>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</si>
  <si>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</si>
  <si>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</si>
  <si>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</si>
  <si>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</si>
  <si>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</si>
  <si>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</si>
  <si>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</si>
  <si>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</si>
  <si>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</si>
  <si>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</si>
  <si>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</si>
  <si>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</si>
  <si>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</si>
  <si>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</si>
  <si>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</si>
  <si>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</si>
  <si>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</si>
  <si>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</si>
  <si>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</si>
  <si>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</si>
  <si>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</si>
  <si>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</si>
  <si>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</si>
  <si>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</si>
  <si>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</si>
  <si>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</si>
  <si>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</si>
  <si>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</si>
  <si>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</si>
  <si>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</si>
  <si>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</si>
  <si>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</si>
  <si>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</si>
  <si>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</si>
  <si>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</si>
  <si>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</si>
  <si>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</si>
  <si>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</si>
  <si>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</si>
  <si>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</si>
  <si>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</si>
  <si>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</si>
  <si>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</si>
  <si>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</si>
  <si>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</si>
  <si>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</si>
  <si>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</si>
  <si>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</si>
  <si>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</si>
  <si>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</si>
  <si>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</si>
  <si>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</si>
  <si>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</si>
  <si>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</si>
  <si>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</si>
  <si>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</si>
  <si>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</si>
  <si>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</si>
  <si>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</si>
  <si>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</si>
  <si>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</si>
  <si>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</si>
  <si>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</si>
  <si>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</si>
  <si>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</si>
  <si>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</si>
  <si>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</si>
  <si>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</si>
  <si>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</si>
  <si>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</si>
  <si>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</si>
  <si>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</si>
  <si>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</si>
  <si>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</si>
  <si>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</si>
  <si>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</si>
  <si>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</si>
  <si>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</si>
  <si>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</si>
  <si>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</si>
  <si>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</si>
  <si>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</si>
  <si>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</si>
  <si>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</si>
  <si>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</si>
  <si>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</si>
  <si>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</si>
  <si>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</si>
  <si>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</si>
  <si>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</si>
  <si>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</si>
  <si>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</si>
  <si>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</si>
  <si>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</si>
  <si>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</si>
  <si>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</si>
  <si>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</si>
  <si>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</si>
  <si>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</si>
  <si>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</si>
  <si>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</si>
  <si>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</si>
  <si>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</si>
  <si>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</si>
  <si>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</si>
  <si>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</si>
  <si>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</si>
  <si>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</si>
  <si>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</si>
  <si>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</si>
  <si>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</si>
  <si>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</si>
  <si>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</si>
  <si>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</si>
  <si>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</si>
  <si>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</si>
  <si>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</si>
  <si>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</si>
  <si>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</si>
  <si>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</si>
  <si>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</si>
  <si>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</si>
  <si>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</si>
  <si>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</si>
  <si>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</si>
  <si>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</si>
  <si>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</si>
  <si>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</si>
  <si>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</si>
  <si>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</si>
  <si>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</si>
  <si>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</si>
  <si>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</si>
  <si>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</si>
  <si>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</si>
  <si>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</si>
  <si>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</si>
  <si>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</si>
  <si>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</si>
  <si>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</si>
  <si>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</si>
  <si>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</si>
  <si>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</si>
  <si>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</si>
  <si>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</si>
  <si>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</si>
  <si>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</si>
  <si>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</si>
  <si>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</si>
  <si>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</si>
  <si>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</si>
  <si>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</si>
  <si>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</si>
  <si>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</si>
  <si>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</si>
  <si>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</si>
  <si>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</si>
  <si>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</si>
  <si>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</si>
  <si>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</si>
  <si>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</si>
  <si>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</si>
  <si>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</si>
  <si>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</si>
  <si>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</si>
  <si>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</si>
  <si>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</si>
  <si>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</si>
  <si>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</si>
  <si>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</si>
  <si>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</si>
  <si>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</si>
  <si>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</si>
  <si>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</si>
  <si>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</si>
  <si>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</si>
  <si>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</si>
  <si>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</si>
  <si>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</si>
  <si>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</si>
  <si>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</si>
  <si>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</si>
  <si>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</si>
  <si>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</si>
  <si>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</si>
  <si>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</si>
  <si>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</si>
  <si>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</si>
  <si>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</si>
  <si>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</si>
  <si>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</si>
  <si>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</si>
  <si>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</si>
  <si>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</si>
  <si>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</si>
  <si>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</si>
  <si>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</si>
  <si>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</si>
  <si>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</si>
  <si>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</si>
  <si>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</si>
  <si>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</si>
  <si>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</si>
  <si>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</si>
  <si>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</si>
  <si>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</si>
  <si>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</si>
  <si>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</si>
  <si>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</si>
  <si>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</si>
  <si>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</si>
  <si>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</si>
  <si>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</si>
  <si>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</si>
  <si>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</si>
  <si>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</si>
  <si>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</si>
  <si>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</si>
  <si>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</si>
  <si>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</si>
  <si>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</si>
  <si>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</si>
  <si>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</si>
  <si>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</si>
  <si>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</si>
  <si>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</si>
  <si>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</si>
  <si>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</si>
  <si>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</si>
  <si>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</si>
  <si>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</si>
  <si>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</si>
  <si>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</si>
  <si>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</si>
  <si>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</si>
  <si>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</si>
  <si>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</si>
  <si>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</si>
  <si>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</si>
  <si>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</si>
  <si>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</si>
  <si>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</si>
  <si>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</si>
  <si>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</si>
  <si>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</si>
  <si>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</si>
  <si>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</si>
  <si>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</si>
  <si>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</si>
  <si>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</si>
  <si>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</si>
  <si>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</si>
  <si>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</si>
  <si>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</si>
  <si>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</si>
  <si>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</si>
  <si>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</si>
  <si>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</si>
  <si>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</si>
  <si>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</si>
  <si>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</si>
  <si>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</si>
  <si>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</si>
  <si>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</si>
  <si>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</si>
  <si>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</si>
  <si>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</si>
  <si>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</si>
  <si>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</si>
  <si>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</si>
  <si>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</si>
  <si>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</si>
  <si>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</si>
  <si>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</si>
  <si>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</si>
  <si>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</si>
  <si>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</si>
  <si>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</si>
  <si>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</si>
  <si>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</si>
  <si>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</si>
  <si>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</si>
  <si>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</si>
  <si>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</si>
  <si>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</si>
  <si>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</si>
  <si>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</si>
  <si>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</si>
  <si>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</si>
  <si>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</si>
  <si>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</si>
  <si>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</si>
  <si>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</si>
  <si>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</si>
  <si>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</si>
  <si>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</si>
  <si>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</si>
  <si>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</si>
  <si>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</si>
  <si>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</si>
  <si>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</si>
  <si>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</si>
  <si>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</si>
  <si>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</si>
  <si>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</si>
  <si>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</si>
  <si>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</si>
  <si>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</si>
  <si>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</si>
  <si>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</si>
  <si>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</si>
  <si>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</si>
  <si>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</si>
  <si>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</si>
  <si>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</si>
  <si>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</si>
  <si>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</si>
  <si>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</si>
  <si>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</si>
  <si>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</si>
  <si>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</si>
  <si>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</si>
  <si>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</si>
  <si>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</si>
  <si>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</si>
  <si>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</si>
  <si>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</si>
  <si>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</si>
  <si>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</si>
  <si>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</si>
  <si>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</si>
  <si>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</si>
  <si>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</si>
  <si>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</si>
  <si>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</si>
  <si>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</si>
  <si>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</si>
  <si>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</si>
  <si>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</si>
  <si>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</si>
  <si>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</si>
  <si>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</si>
  <si>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</si>
  <si>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</si>
  <si>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</si>
  <si>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</si>
  <si>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</si>
  <si>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</si>
  <si>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</si>
  <si>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</si>
  <si>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</si>
  <si>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</si>
  <si>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</si>
  <si>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</si>
  <si>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</si>
  <si>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</si>
  <si>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</si>
  <si>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</si>
  <si>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</si>
  <si>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</si>
  <si>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</si>
  <si>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</si>
  <si>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</si>
  <si>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</si>
  <si>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</si>
  <si>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</si>
  <si>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</si>
  <si>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</si>
  <si>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</si>
  <si>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</si>
  <si>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</si>
  <si>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</si>
  <si>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</si>
  <si>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</si>
  <si>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</si>
  <si>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</si>
  <si>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</si>
  <si>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</si>
  <si>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</si>
  <si>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</si>
  <si>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</si>
  <si>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</si>
  <si>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</si>
  <si>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</si>
  <si>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</si>
  <si>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</si>
  <si>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</si>
  <si>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</si>
  <si>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</si>
  <si>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</si>
  <si>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</si>
  <si>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</si>
  <si>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</si>
  <si>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</si>
  <si>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</si>
  <si>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</si>
  <si>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</si>
  <si>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</si>
  <si>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</si>
  <si>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</si>
  <si>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</si>
  <si>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</si>
  <si>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</si>
  <si>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</si>
  <si>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</si>
  <si>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</si>
  <si>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</si>
  <si>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</si>
  <si>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</si>
  <si>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</si>
  <si>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</si>
  <si>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</si>
  <si>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</si>
  <si>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</si>
  <si>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</si>
  <si>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</si>
  <si>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</si>
  <si>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</si>
  <si>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</si>
  <si>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</si>
  <si>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</si>
  <si>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</si>
  <si>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</si>
  <si>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</si>
  <si>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</si>
  <si>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</si>
  <si>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</si>
  <si>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</si>
  <si>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</si>
  <si>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</si>
  <si>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</si>
  <si>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</si>
  <si>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</si>
  <si>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</si>
  <si>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</si>
  <si>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</si>
  <si>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</si>
  <si>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</si>
  <si>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</si>
  <si>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</si>
  <si>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</si>
  <si>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</si>
  <si>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</si>
  <si>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</si>
  <si>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</si>
  <si>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</si>
  <si>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</si>
  <si>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</si>
  <si>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</si>
  <si>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</si>
  <si>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</si>
  <si>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</si>
  <si>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</si>
  <si>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</si>
  <si>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</si>
  <si>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</si>
  <si>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</si>
  <si>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</si>
  <si>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</si>
  <si>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</si>
  <si>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</si>
  <si>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</si>
  <si>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</si>
  <si>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</si>
  <si>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</si>
  <si>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</si>
  <si>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</si>
  <si>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</si>
  <si>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</si>
  <si>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</si>
  <si>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</si>
  <si>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</si>
  <si>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</si>
  <si>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</si>
  <si>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</si>
  <si>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</si>
  <si>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</si>
  <si>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</si>
  <si>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</si>
  <si>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</si>
  <si>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</si>
  <si>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</si>
  <si>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</si>
  <si>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</si>
  <si>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</si>
  <si>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</si>
  <si>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</si>
  <si>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</si>
  <si>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</si>
  <si>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</si>
  <si>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</si>
  <si>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</si>
  <si>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</si>
  <si>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</si>
  <si>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</si>
  <si>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</si>
  <si>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</si>
  <si>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</si>
  <si>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</si>
  <si>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</si>
  <si>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</si>
  <si>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</si>
  <si>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</si>
  <si>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</si>
  <si>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</si>
  <si>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</si>
  <si>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</si>
  <si>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</si>
  <si>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</si>
  <si>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</si>
  <si>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</si>
  <si>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</si>
  <si>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</si>
  <si>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</si>
  <si>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</si>
  <si>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</si>
  <si>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</si>
  <si>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</si>
  <si>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</si>
  <si>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</si>
  <si>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</si>
  <si>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</si>
  <si>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</si>
  <si>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</si>
  <si>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</si>
  <si>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</si>
  <si>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</si>
  <si>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</si>
  <si>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</si>
  <si>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</si>
  <si>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</si>
  <si>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</si>
  <si>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</si>
  <si>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</si>
  <si>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</si>
  <si>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</si>
  <si>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</si>
  <si>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</si>
  <si>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</si>
  <si>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</si>
  <si>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</si>
  <si>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</si>
  <si>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</si>
  <si>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</si>
  <si>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</si>
  <si>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</si>
  <si>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</si>
  <si>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</si>
  <si>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</si>
  <si>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</si>
  <si>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</si>
  <si>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</si>
  <si>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</si>
  <si>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</si>
  <si>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</si>
  <si>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</si>
  <si>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</si>
  <si>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</si>
  <si>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</si>
  <si>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</si>
  <si>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</si>
  <si>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</si>
  <si>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</si>
  <si>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</si>
  <si>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</si>
  <si>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</si>
  <si>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</si>
  <si>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</si>
  <si>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</si>
  <si>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</si>
  <si>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</si>
  <si>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</si>
  <si>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</si>
  <si>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</si>
  <si>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</si>
  <si>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</si>
  <si>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</si>
  <si>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</si>
  <si>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</si>
  <si>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</si>
  <si>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</si>
  <si>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</si>
  <si>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</si>
  <si>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</si>
  <si>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</si>
  <si>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</si>
  <si>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</si>
  <si>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</si>
  <si>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</si>
  <si>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</si>
  <si>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</si>
  <si>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</si>
  <si>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</si>
  <si>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</si>
  <si>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</si>
  <si>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</si>
  <si>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</si>
  <si>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</si>
  <si>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</si>
  <si>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</si>
  <si>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</si>
  <si>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</si>
  <si>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</si>
  <si>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</si>
  <si>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</si>
  <si>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</si>
  <si>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</si>
  <si>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</si>
  <si>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</si>
  <si>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</si>
  <si>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</si>
  <si>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</si>
  <si>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</si>
  <si>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</si>
  <si>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</si>
  <si>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</si>
  <si>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</si>
  <si>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</si>
  <si>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</si>
  <si>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</si>
  <si>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</si>
  <si>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</si>
  <si>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</si>
  <si>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</si>
  <si>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</si>
  <si>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</si>
  <si>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</si>
  <si>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</si>
  <si>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</si>
  <si>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</si>
  <si>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</si>
  <si>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</si>
  <si>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</si>
  <si>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</si>
  <si>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</si>
  <si>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</si>
  <si>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</si>
  <si>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</si>
  <si>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</si>
  <si>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</si>
  <si>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</si>
  <si>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</si>
  <si>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</si>
  <si>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</si>
  <si>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</si>
  <si>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</si>
  <si>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</si>
  <si>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</si>
  <si>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</si>
  <si>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</si>
  <si>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</si>
  <si>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</si>
  <si>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</si>
  <si>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</si>
  <si>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</si>
  <si>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</si>
  <si>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</si>
  <si>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</si>
  <si>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</si>
  <si>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</si>
  <si>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</si>
  <si>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</si>
  <si>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</si>
  <si>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</si>
  <si>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</si>
  <si>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</si>
  <si>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</si>
  <si>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</si>
  <si>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</si>
  <si>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</si>
  <si>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</si>
  <si>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</si>
  <si>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</si>
  <si>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</si>
  <si>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</si>
  <si>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</si>
  <si>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</si>
  <si>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</si>
  <si>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</si>
  <si>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</si>
  <si>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</si>
  <si>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</si>
  <si>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</si>
  <si>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</si>
  <si>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</si>
  <si>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</si>
  <si>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</si>
  <si>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</si>
  <si>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</si>
  <si>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</si>
  <si>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</si>
  <si>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</si>
  <si>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</si>
  <si>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</si>
  <si>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</si>
  <si>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</si>
  <si>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</si>
  <si>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</si>
  <si>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</si>
  <si>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</si>
  <si>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</si>
  <si>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</si>
  <si>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</si>
  <si>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</si>
  <si>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</si>
  <si>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</si>
  <si>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</si>
  <si>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</si>
  <si>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</si>
  <si>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</si>
  <si>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</si>
  <si>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</si>
  <si>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</si>
  <si>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</si>
  <si>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</si>
  <si>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</si>
  <si>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</si>
  <si>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</si>
  <si>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</si>
  <si>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</si>
  <si>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</si>
  <si>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</si>
  <si>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</si>
  <si>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</si>
  <si>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</si>
  <si>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</si>
  <si>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</si>
  <si>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</si>
  <si>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</si>
  <si>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</si>
  <si>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</si>
  <si>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</si>
  <si>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</si>
  <si>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</si>
  <si>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</si>
  <si>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</si>
  <si>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</si>
  <si>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</si>
  <si>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</si>
  <si>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</si>
  <si>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</si>
  <si>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</si>
  <si>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</si>
  <si>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</si>
  <si>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</si>
  <si>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</si>
  <si>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</si>
  <si>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</si>
  <si>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</si>
  <si>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</si>
  <si>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</si>
  <si>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</si>
  <si>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</si>
  <si>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</si>
  <si>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</si>
  <si>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</si>
  <si>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</si>
  <si>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</si>
  <si>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</si>
  <si>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</si>
  <si>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</si>
  <si>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</si>
  <si>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</si>
  <si>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</si>
  <si>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</si>
  <si>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</si>
  <si>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</si>
  <si>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</si>
  <si>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</si>
  <si>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</si>
  <si>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</si>
  <si>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</si>
  <si>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</si>
  <si>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</si>
  <si>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</si>
  <si>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</si>
  <si>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</si>
  <si>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</si>
  <si>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</si>
  <si>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</si>
  <si>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</si>
  <si>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</si>
  <si>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</si>
  <si>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</si>
  <si>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</si>
  <si>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</si>
  <si>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</si>
  <si>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</si>
  <si>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</si>
  <si>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</si>
  <si>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</si>
  <si>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</si>
  <si>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</si>
  <si>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</si>
  <si>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</si>
  <si>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</si>
  <si>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</si>
  <si>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</si>
  <si>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</si>
  <si>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</si>
  <si>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</si>
  <si>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</si>
  <si>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</si>
  <si>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</si>
  <si>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</si>
  <si>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</si>
  <si>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</si>
  <si>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</si>
  <si>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</si>
  <si>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</si>
  <si>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</si>
  <si>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</si>
  <si>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</si>
  <si>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</si>
  <si>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</si>
  <si>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</si>
  <si>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</si>
  <si>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</si>
  <si>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</si>
  <si>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</si>
  <si>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</si>
  <si>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</si>
  <si>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</si>
  <si>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</si>
  <si>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</si>
  <si>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</si>
  <si>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</si>
  <si>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</si>
  <si>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</si>
  <si>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</si>
  <si>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</si>
  <si>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</si>
  <si>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</si>
  <si>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</si>
  <si>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</si>
  <si>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</si>
  <si>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</si>
  <si>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</si>
  <si>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</si>
  <si>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</si>
  <si>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</si>
  <si>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</si>
  <si>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</si>
  <si>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</si>
  <si>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</si>
  <si>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</si>
  <si>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</si>
  <si>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</si>
  <si>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</si>
  <si>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</si>
  <si>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</si>
  <si>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</si>
  <si>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</si>
  <si>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</si>
  <si>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</si>
  <si>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</si>
  <si>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</si>
  <si>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</si>
  <si>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</si>
  <si>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</si>
  <si>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</si>
  <si>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</si>
  <si>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</si>
  <si>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</si>
  <si>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</si>
  <si>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</si>
  <si>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</si>
  <si>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</si>
  <si>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</si>
  <si>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</si>
  <si>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</si>
  <si>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</si>
  <si>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</si>
  <si>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</si>
  <si>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</si>
  <si>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</si>
  <si>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</si>
  <si>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</si>
  <si>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</si>
  <si>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</si>
  <si>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</si>
  <si>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</si>
  <si>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</si>
  <si>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</si>
  <si>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</si>
  <si>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</si>
  <si>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</si>
  <si>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</si>
  <si>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</si>
  <si>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</si>
  <si>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</si>
  <si>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</si>
  <si>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</si>
  <si>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</si>
  <si>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</si>
  <si>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</si>
  <si>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</si>
  <si>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</si>
  <si>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</si>
  <si>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</si>
  <si>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</si>
  <si>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</si>
  <si>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</si>
  <si>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</si>
  <si>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</si>
  <si>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</si>
  <si>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</si>
  <si>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</si>
  <si>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</si>
  <si>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</si>
  <si>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</si>
  <si>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</si>
  <si>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</si>
  <si>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</si>
  <si>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</si>
  <si>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</si>
  <si>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</si>
  <si>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</si>
  <si>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</si>
  <si>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</si>
  <si>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</si>
  <si>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</si>
  <si>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</si>
  <si>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</si>
  <si>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</si>
  <si>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</si>
  <si>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</si>
  <si>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</si>
  <si>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</si>
  <si>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</si>
  <si>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</si>
  <si>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</si>
  <si>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</si>
  <si>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</si>
  <si>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</si>
  <si>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</si>
  <si>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</si>
  <si>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</si>
  <si>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</si>
  <si>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</si>
  <si>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</si>
  <si>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</si>
  <si>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</si>
  <si>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</si>
  <si>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</si>
  <si>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</si>
  <si>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</si>
  <si>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</si>
  <si>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</si>
  <si>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</si>
  <si>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</si>
  <si>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</si>
  <si>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</si>
  <si>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</si>
  <si>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</si>
  <si>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</si>
  <si>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</si>
  <si>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</si>
  <si>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</si>
  <si>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</si>
  <si>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</si>
  <si>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</si>
  <si>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</si>
  <si>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</si>
  <si>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</si>
  <si>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</si>
  <si>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</si>
  <si>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</si>
  <si>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</si>
  <si>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</si>
  <si>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</si>
  <si>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</si>
  <si>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</si>
  <si>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</si>
  <si>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</si>
  <si>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</si>
  <si>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</si>
  <si>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</si>
  <si>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</si>
  <si>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</si>
  <si>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</si>
  <si>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</si>
  <si>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</si>
  <si>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</si>
  <si>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</si>
  <si>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</si>
  <si>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</si>
  <si>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</si>
  <si>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</si>
  <si>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</si>
  <si>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</si>
  <si>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</si>
  <si>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</si>
  <si>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</si>
  <si>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</si>
  <si>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</si>
  <si>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</si>
  <si>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</si>
  <si>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</si>
  <si>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</si>
  <si>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</si>
  <si>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</si>
  <si>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</si>
  <si>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</si>
  <si>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</si>
  <si>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</si>
  <si>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</si>
  <si>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</si>
  <si>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</si>
  <si>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</si>
  <si>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</si>
  <si>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</si>
  <si>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</si>
  <si>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</si>
  <si>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</si>
  <si>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</si>
  <si>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</si>
  <si>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</si>
  <si>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</si>
  <si>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</si>
  <si>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</si>
  <si>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</si>
  <si>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</si>
  <si>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</si>
  <si>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</si>
  <si>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</si>
  <si>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</si>
  <si>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</si>
  <si>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</si>
  <si>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</si>
  <si>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</si>
  <si>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</si>
  <si>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</si>
  <si>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</si>
  <si>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</si>
  <si>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</si>
  <si>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</si>
  <si>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</si>
  <si>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</si>
  <si>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</si>
  <si>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</si>
  <si>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</si>
  <si>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</si>
  <si>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</si>
  <si>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</si>
  <si>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</si>
  <si>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</si>
  <si>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</si>
  <si>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</si>
  <si>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</si>
  <si>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</si>
  <si>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</si>
  <si>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</si>
  <si>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</si>
  <si>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</si>
  <si>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</si>
  <si>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</si>
  <si>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</si>
  <si>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</si>
  <si>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</si>
  <si>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</si>
  <si>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</si>
  <si>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</si>
  <si>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</si>
  <si>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</si>
  <si>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</si>
  <si>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</si>
  <si>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</si>
  <si>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</si>
  <si>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</si>
  <si>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</si>
  <si>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</si>
  <si>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</si>
  <si>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</si>
  <si>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</si>
  <si>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</si>
  <si>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</si>
  <si>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</si>
  <si>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</si>
  <si>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</si>
  <si>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</si>
  <si>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</si>
  <si>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</si>
  <si>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</si>
  <si>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</si>
  <si>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</si>
  <si>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</si>
  <si>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</si>
  <si>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</si>
  <si>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</si>
  <si>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</si>
  <si>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</si>
  <si>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</si>
  <si>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</si>
  <si>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</si>
  <si>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</si>
  <si>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</si>
  <si>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</si>
  <si>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</si>
  <si>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</si>
  <si>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</si>
  <si>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</si>
  <si>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</si>
  <si>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</si>
  <si>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</si>
  <si>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</si>
  <si>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</si>
  <si>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</si>
  <si>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</si>
  <si>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</si>
  <si>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</si>
  <si>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</si>
  <si>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</si>
  <si>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</si>
  <si>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</si>
  <si>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</si>
  <si>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</si>
  <si>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</si>
  <si>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</si>
  <si>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</si>
  <si>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</si>
  <si>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</si>
  <si>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</si>
  <si>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</si>
  <si>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</si>
  <si>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</si>
  <si>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</si>
  <si>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</si>
  <si>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</si>
  <si>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</si>
  <si>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</si>
  <si>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</si>
  <si>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</si>
  <si>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</si>
  <si>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</si>
  <si>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</si>
  <si>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</si>
  <si>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</si>
  <si>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</si>
  <si>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</si>
  <si>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</si>
  <si>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</si>
  <si>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</si>
  <si>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</si>
  <si>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</si>
  <si>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</si>
  <si>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</si>
  <si>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</si>
  <si>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</si>
  <si>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</si>
  <si>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</si>
  <si>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</si>
  <si>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</si>
  <si>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</si>
  <si>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</si>
  <si>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</si>
  <si>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</si>
  <si>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</si>
  <si>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</si>
  <si>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</si>
  <si>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</si>
  <si>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</si>
  <si>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</si>
  <si>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</si>
  <si>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</si>
  <si>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</si>
  <si>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</si>
  <si>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</si>
  <si>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</si>
  <si>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</si>
  <si>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</si>
  <si>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</si>
  <si>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</si>
  <si>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</si>
  <si>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</si>
  <si>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</si>
  <si>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</si>
  <si>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</si>
  <si>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</si>
  <si>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</si>
  <si>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</si>
  <si>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</si>
  <si>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</si>
  <si>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</si>
  <si>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</si>
  <si>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</si>
  <si>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</si>
  <si>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</si>
  <si>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</si>
  <si>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</si>
  <si>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</si>
  <si>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</si>
  <si>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</si>
  <si>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</si>
  <si>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</si>
  <si>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</si>
  <si>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</si>
  <si>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</si>
  <si>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</si>
  <si>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</si>
  <si>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</si>
  <si>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</si>
  <si>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</si>
  <si>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</si>
  <si>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</si>
  <si>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</si>
  <si>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</si>
  <si>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</si>
  <si>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</si>
  <si>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</si>
  <si>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</si>
  <si>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</si>
  <si>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</si>
  <si>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</si>
  <si>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</si>
  <si>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</si>
  <si>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</si>
  <si>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</si>
  <si>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</si>
  <si>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</si>
  <si>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</si>
  <si>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</si>
  <si>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</si>
  <si>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</si>
  <si>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</si>
  <si>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</si>
  <si>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</si>
  <si>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</si>
  <si>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</si>
  <si>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</si>
  <si>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</si>
  <si>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</si>
  <si>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</si>
  <si>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</si>
  <si>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</si>
  <si>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</si>
  <si>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</si>
  <si>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</si>
  <si>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</si>
  <si>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</si>
  <si>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</si>
  <si>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</si>
  <si>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</si>
  <si>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</si>
  <si>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</si>
  <si>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</si>
  <si>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</si>
  <si>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</si>
  <si>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</si>
  <si>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</si>
  <si>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</si>
  <si>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</si>
  <si>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</si>
  <si>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</si>
  <si>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</si>
  <si>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</si>
  <si>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</si>
  <si>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</si>
  <si>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</si>
  <si>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</si>
  <si>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</si>
  <si>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</si>
  <si>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</si>
  <si>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</si>
  <si>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</si>
  <si>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</si>
  <si>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</si>
  <si>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</si>
  <si>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</si>
  <si>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</si>
  <si>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</si>
  <si>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</si>
  <si>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</si>
  <si>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</si>
  <si>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</si>
  <si>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</si>
  <si>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</si>
  <si>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</si>
  <si>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</si>
  <si>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</si>
  <si>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</si>
  <si>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</si>
  <si>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</si>
  <si>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</si>
  <si>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</si>
  <si>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</si>
  <si>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</si>
  <si>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</si>
  <si>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</si>
  <si>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</si>
  <si>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</si>
  <si>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</si>
  <si>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</si>
  <si>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</si>
  <si>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</si>
  <si>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</si>
  <si>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</si>
  <si>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</si>
  <si>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</si>
  <si>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</si>
  <si>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</si>
  <si>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</si>
  <si>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</si>
  <si>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</si>
  <si>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</si>
  <si>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</si>
  <si>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</si>
  <si>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</si>
  <si>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</si>
  <si>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</si>
  <si>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</si>
  <si>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</si>
  <si>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</si>
  <si>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</si>
  <si>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</si>
  <si>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</si>
  <si>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</si>
  <si>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</si>
  <si>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</si>
  <si>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</si>
  <si>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</si>
  <si>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</si>
  <si>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</si>
  <si>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</si>
  <si>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</si>
  <si>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</si>
  <si>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</si>
  <si>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</si>
  <si>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</si>
  <si>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</si>
  <si>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</si>
  <si>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</si>
  <si>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</si>
  <si>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</si>
  <si>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</si>
  <si>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</si>
  <si>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</si>
  <si>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</si>
  <si>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</si>
  <si>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</si>
  <si>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</si>
  <si>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</si>
  <si>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</si>
  <si>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</si>
  <si>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</si>
  <si>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</si>
  <si>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</si>
  <si>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</si>
  <si>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</si>
  <si>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</si>
  <si>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</si>
  <si>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</si>
  <si>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</si>
  <si>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</si>
  <si>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</si>
  <si>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</si>
  <si>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</si>
  <si>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</si>
  <si>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</si>
  <si>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</si>
  <si>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</si>
  <si>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</si>
  <si>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</si>
  <si>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</si>
  <si>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</si>
  <si>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</si>
  <si>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</si>
  <si>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</si>
  <si>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</si>
  <si>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</si>
  <si>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</si>
  <si>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</si>
  <si>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</si>
  <si>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</si>
  <si>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</si>
  <si>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</si>
  <si>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</si>
  <si>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</si>
  <si>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</si>
  <si>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</si>
  <si>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</si>
  <si>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</si>
  <si>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</si>
  <si>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</si>
  <si>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</si>
  <si>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</si>
  <si>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</si>
  <si>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</si>
  <si>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</si>
  <si>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</si>
  <si>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</si>
  <si>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</si>
  <si>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</si>
  <si>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</si>
  <si>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</si>
  <si>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</si>
  <si>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</si>
  <si>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</si>
  <si>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</si>
  <si>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</si>
  <si>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</si>
  <si>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</si>
  <si>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</si>
  <si>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</si>
  <si>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</si>
  <si>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</si>
  <si>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</si>
  <si>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</si>
  <si>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</si>
  <si>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</si>
  <si>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</si>
  <si>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</si>
  <si>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</si>
  <si>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</si>
  <si>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</si>
  <si>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</si>
  <si>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</si>
  <si>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</si>
  <si>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</si>
  <si>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</si>
  <si>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</si>
  <si>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</si>
  <si>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</si>
  <si>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</si>
  <si>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</si>
  <si>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</si>
  <si>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</si>
  <si>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</si>
  <si>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</si>
  <si>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</si>
  <si>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</si>
  <si>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</si>
  <si>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</si>
  <si>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</si>
  <si>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</si>
  <si>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</si>
  <si>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</si>
  <si>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</si>
  <si>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</si>
  <si>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</si>
  <si>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</si>
  <si>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</si>
  <si>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</si>
  <si>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</si>
  <si>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</si>
  <si>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</si>
  <si>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</si>
  <si>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</si>
  <si>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</si>
  <si>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</si>
  <si>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</si>
  <si>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</si>
  <si>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</si>
  <si>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</si>
  <si>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</si>
  <si>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</si>
  <si>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</si>
  <si>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</si>
  <si>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</si>
  <si>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</si>
  <si>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</si>
  <si>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</si>
  <si>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</si>
  <si>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</si>
  <si>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</si>
  <si>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</si>
  <si>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</si>
  <si>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</si>
  <si>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</si>
  <si>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</si>
  <si>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</si>
  <si>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</si>
  <si>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</si>
  <si>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</si>
  <si>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</si>
  <si>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</si>
  <si>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</si>
  <si>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</si>
  <si>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</si>
  <si>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</si>
  <si>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</si>
  <si>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</si>
  <si>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</si>
  <si>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</si>
  <si>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</si>
  <si>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</si>
  <si>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</si>
  <si>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</si>
  <si>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</si>
  <si>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</si>
  <si>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</si>
  <si>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</si>
  <si>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</si>
  <si>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</si>
  <si>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</si>
  <si>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</si>
  <si>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</si>
  <si>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</si>
  <si>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</si>
  <si>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</si>
  <si>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</si>
  <si>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</si>
  <si>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</si>
  <si>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</si>
  <si>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</si>
  <si>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</si>
  <si>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</si>
  <si>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</si>
  <si>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</si>
  <si>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</si>
  <si>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</si>
  <si>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</si>
  <si>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</si>
  <si>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</si>
  <si>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</si>
  <si>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</si>
  <si>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</si>
  <si>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</si>
  <si>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</si>
  <si>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</si>
  <si>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</si>
  <si>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</si>
  <si>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</si>
  <si>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</si>
  <si>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</si>
  <si>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</si>
  <si>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</si>
  <si>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</si>
  <si>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</si>
  <si>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</si>
  <si>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</si>
  <si>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</si>
  <si>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</si>
  <si>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</si>
  <si>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</si>
  <si>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</si>
  <si>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</si>
  <si>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</si>
  <si>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</si>
  <si>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</si>
  <si>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</si>
  <si>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</si>
  <si>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</si>
  <si>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</si>
  <si>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</si>
  <si>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</si>
  <si>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</si>
  <si>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</si>
  <si>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</si>
  <si>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</si>
  <si>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</si>
  <si>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</si>
  <si>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</si>
  <si>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</si>
  <si>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</si>
  <si>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</si>
  <si>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</si>
  <si>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</si>
  <si>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</si>
  <si>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</si>
  <si>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</si>
  <si>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</si>
  <si>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</si>
  <si>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</si>
  <si>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</si>
  <si>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</si>
  <si>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</si>
  <si>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</si>
  <si>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</si>
  <si>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</si>
  <si>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</si>
  <si>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</si>
  <si>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</si>
  <si>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</si>
  <si>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</si>
  <si>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</si>
  <si>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</si>
  <si>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</si>
  <si>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</si>
  <si>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</si>
  <si>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</si>
  <si>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</si>
  <si>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</si>
  <si>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</si>
  <si>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</si>
  <si>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</si>
  <si>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</si>
  <si>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</si>
  <si>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</si>
  <si>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</si>
  <si>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</si>
  <si>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</si>
  <si>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</si>
  <si>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</si>
  <si>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</si>
  <si>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</si>
  <si>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</si>
  <si>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</si>
  <si>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</si>
  <si>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</si>
  <si>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</si>
  <si>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</si>
  <si>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</si>
  <si>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</si>
  <si>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</si>
  <si>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</si>
  <si>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</si>
  <si>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</si>
  <si>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</si>
  <si>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</si>
  <si>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</si>
  <si>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</si>
  <si>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</si>
  <si>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</si>
  <si>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</si>
  <si>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</si>
  <si>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</si>
  <si>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</si>
  <si>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</si>
  <si>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</si>
  <si>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</si>
  <si>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</si>
  <si>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</si>
  <si>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</si>
  <si>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</si>
  <si>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</si>
  <si>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</si>
  <si>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</si>
  <si>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</si>
  <si>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</si>
  <si>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</si>
  <si>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</si>
  <si>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</si>
  <si>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</si>
  <si>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</si>
  <si>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</si>
  <si>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</si>
  <si>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</si>
  <si>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</si>
  <si>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</si>
  <si>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</si>
  <si>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</si>
  <si>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</si>
  <si>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</si>
  <si>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</si>
  <si>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</si>
  <si>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</si>
  <si>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</si>
  <si>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</si>
  <si>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</si>
  <si>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</si>
  <si>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</si>
  <si>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</si>
  <si>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</si>
  <si>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</si>
  <si>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</si>
  <si>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</si>
  <si>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</si>
  <si>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</si>
  <si>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</si>
  <si>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</si>
  <si>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</si>
  <si>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</si>
  <si>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</si>
  <si>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</si>
  <si>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</si>
  <si>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</si>
  <si>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</si>
  <si>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</si>
  <si>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</si>
  <si>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</si>
  <si>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</si>
  <si>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</si>
  <si>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</si>
  <si>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</si>
  <si>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</si>
  <si>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</si>
  <si>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</si>
  <si>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</si>
  <si>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</si>
  <si>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</si>
  <si>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</si>
  <si>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</si>
  <si>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</si>
  <si>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</si>
  <si>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</si>
  <si>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</si>
  <si>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</si>
  <si>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</si>
  <si>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</si>
  <si>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</si>
  <si>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</si>
  <si>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</si>
  <si>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</si>
  <si>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</si>
  <si>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</si>
  <si>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</si>
  <si>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</si>
  <si>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</si>
  <si>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</si>
  <si>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</si>
  <si>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</si>
  <si>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</si>
  <si>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</si>
  <si>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</si>
  <si>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</si>
  <si>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</si>
  <si>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</si>
  <si>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</si>
  <si>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</si>
  <si>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</si>
  <si>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</si>
  <si>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</si>
  <si>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</si>
  <si>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</si>
  <si>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</si>
  <si>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</si>
  <si>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</si>
  <si>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</si>
  <si>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</si>
  <si>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</si>
  <si>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</si>
  <si>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</si>
  <si>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</si>
  <si>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</si>
  <si>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</si>
  <si>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</si>
  <si>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</si>
  <si>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</si>
  <si>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</si>
  <si>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</si>
  <si>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</si>
  <si>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</si>
  <si>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</si>
  <si>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</si>
  <si>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</si>
  <si>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</si>
  <si>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</si>
  <si>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</si>
  <si>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</si>
  <si>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</si>
  <si>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</si>
  <si>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</si>
  <si>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</si>
  <si>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</si>
  <si>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</si>
  <si>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</si>
  <si>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</si>
  <si>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</si>
  <si>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</si>
  <si>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</si>
  <si>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</si>
  <si>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</si>
  <si>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</si>
  <si>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</si>
  <si>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</si>
  <si>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</si>
  <si>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</si>
  <si>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</si>
  <si>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</si>
  <si>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</si>
  <si>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</si>
  <si>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</si>
  <si>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</si>
  <si>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</si>
  <si>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</si>
  <si>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</si>
  <si>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</si>
  <si>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</si>
  <si>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</si>
  <si>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</si>
  <si>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</si>
  <si>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</si>
  <si>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</si>
  <si>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</si>
  <si>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</si>
  <si>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</si>
  <si>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</si>
  <si>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</si>
  <si>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</si>
  <si>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</si>
  <si>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</si>
  <si>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</si>
  <si>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</si>
  <si>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</si>
  <si>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</si>
  <si>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</si>
  <si>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</si>
  <si>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</si>
  <si>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</si>
  <si>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</si>
  <si>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</si>
  <si>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</si>
  <si>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</si>
  <si>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</si>
  <si>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</si>
  <si>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</si>
  <si>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</si>
  <si>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</si>
  <si>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</si>
  <si>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</si>
  <si>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</si>
  <si>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</si>
  <si>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</si>
  <si>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</si>
  <si>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</si>
  <si>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</si>
  <si>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</si>
  <si>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</si>
  <si>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</si>
  <si>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</si>
  <si>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</si>
  <si>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</si>
  <si>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</si>
  <si>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</si>
  <si>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</si>
  <si>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</si>
  <si>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</si>
  <si>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</si>
  <si>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</si>
  <si>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</si>
  <si>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</si>
  <si>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</si>
  <si>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</si>
  <si>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</si>
  <si>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</si>
  <si>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</si>
  <si>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</si>
  <si>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</si>
  <si>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</si>
  <si>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</si>
  <si>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</si>
  <si>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</si>
  <si>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</si>
  <si>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</si>
  <si>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</si>
  <si>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</si>
  <si>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</si>
  <si>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</si>
  <si>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</si>
  <si>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</si>
  <si>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</si>
  <si>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</si>
  <si>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</si>
  <si>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</si>
  <si>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</si>
  <si>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</si>
  <si>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</si>
  <si>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</si>
  <si>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</si>
  <si>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</si>
  <si>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</si>
  <si>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</si>
  <si>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</si>
  <si>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</si>
  <si>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</si>
  <si>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</si>
  <si>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</si>
  <si>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</si>
  <si>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</si>
  <si>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</si>
  <si>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</si>
  <si>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</si>
  <si>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</si>
  <si>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</si>
  <si>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</si>
  <si>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</si>
  <si>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</si>
  <si>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</si>
  <si>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</si>
  <si>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</si>
  <si>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</si>
  <si>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</si>
  <si>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</si>
  <si>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</si>
  <si>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</si>
  <si>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</si>
  <si>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</si>
  <si>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</si>
  <si>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</si>
  <si>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</si>
  <si>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</si>
  <si>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</si>
  <si>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</si>
  <si>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</si>
  <si>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</si>
  <si>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</si>
  <si>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</si>
  <si>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</si>
  <si>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</si>
  <si>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</si>
  <si>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</si>
  <si>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</si>
  <si>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</si>
  <si>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</si>
  <si>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</si>
  <si>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</si>
  <si>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</si>
  <si>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</si>
  <si>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</si>
  <si>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</si>
  <si>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</si>
  <si>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</si>
  <si>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</si>
  <si>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</si>
  <si>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</si>
  <si>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</si>
  <si>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</si>
  <si>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</si>
  <si>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</si>
  <si>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</si>
  <si>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</si>
  <si>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</si>
  <si>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</si>
  <si>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</si>
  <si>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</si>
  <si>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</si>
  <si>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</si>
  <si>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</si>
  <si>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</si>
  <si>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</si>
  <si>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</si>
  <si>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</si>
  <si>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</si>
  <si>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</si>
  <si>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</si>
  <si>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</si>
  <si>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</si>
  <si>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</si>
  <si>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</si>
  <si>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</si>
  <si>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</si>
  <si>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</si>
  <si>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</si>
  <si>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</si>
  <si>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</si>
  <si>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</si>
  <si>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</si>
  <si>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</si>
  <si>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</si>
  <si>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</si>
  <si>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</si>
  <si>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</si>
  <si>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</si>
  <si>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</si>
  <si>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</si>
  <si>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</si>
  <si>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</si>
  <si>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</si>
  <si>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</si>
  <si>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</si>
  <si>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</si>
  <si>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</si>
  <si>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</si>
  <si>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</si>
  <si>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</si>
  <si>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</si>
  <si>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</si>
  <si>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</si>
  <si>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</si>
  <si>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</si>
  <si>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</si>
  <si>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</si>
  <si>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</si>
  <si>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</si>
  <si>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</si>
  <si>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</si>
  <si>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</si>
  <si>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</si>
  <si>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</si>
  <si>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</si>
  <si>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</si>
  <si>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</si>
  <si>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</si>
  <si>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</si>
  <si>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</si>
  <si>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</si>
  <si>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</si>
  <si>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</si>
  <si>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</si>
  <si>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</si>
  <si>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</si>
  <si>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</si>
  <si>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</si>
  <si>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</si>
  <si>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</si>
  <si>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</si>
  <si>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</si>
  <si>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</si>
  <si>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</si>
  <si>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</si>
  <si>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</si>
  <si>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</si>
  <si>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</si>
  <si>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</si>
  <si>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</si>
  <si>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</si>
  <si>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</si>
  <si>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</si>
  <si>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</si>
  <si>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</si>
  <si>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</si>
  <si>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</si>
  <si>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</si>
  <si>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</si>
  <si>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</si>
  <si>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</si>
  <si>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</si>
  <si>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</si>
  <si>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</si>
  <si>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</si>
  <si>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</si>
  <si>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</si>
  <si>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</si>
  <si>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</si>
  <si>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</si>
  <si>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</si>
  <si>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</si>
  <si>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</si>
  <si>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</si>
  <si>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</si>
  <si>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</si>
  <si>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</si>
  <si>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</si>
  <si>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</si>
  <si>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</si>
  <si>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</si>
  <si>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</si>
  <si>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</si>
  <si>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</si>
  <si>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</si>
  <si>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</si>
  <si>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</si>
  <si>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</si>
  <si>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</si>
  <si>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</si>
  <si>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</si>
  <si>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</si>
  <si>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</si>
  <si>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</si>
  <si>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</si>
  <si>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</si>
  <si>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</si>
  <si>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</si>
  <si>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</si>
  <si>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</si>
  <si>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</si>
  <si>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</si>
  <si>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</si>
  <si>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</si>
  <si>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</si>
  <si>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</si>
  <si>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</si>
  <si>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</si>
  <si>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</si>
  <si>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</si>
  <si>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</si>
  <si>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</si>
  <si>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</si>
  <si>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</si>
  <si>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</si>
  <si>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</si>
  <si>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</si>
  <si>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</si>
  <si>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</si>
  <si>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</si>
  <si>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</si>
  <si>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</si>
  <si>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</si>
  <si>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</si>
  <si>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</si>
  <si>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</si>
  <si>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</si>
  <si>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</si>
  <si>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</si>
  <si>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</si>
  <si>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</si>
  <si>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</si>
  <si>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</si>
  <si>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</si>
  <si>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</si>
  <si>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</si>
  <si>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</si>
  <si>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</si>
  <si>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</si>
  <si>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</si>
  <si>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</si>
  <si>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</si>
  <si>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</si>
  <si>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</si>
  <si>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</si>
  <si>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</si>
  <si>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</si>
  <si>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</si>
  <si>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</si>
  <si>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</si>
  <si>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</si>
  <si>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</si>
  <si>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</si>
  <si>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</si>
  <si>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</si>
  <si>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</si>
  <si>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</si>
  <si>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</si>
  <si>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</si>
  <si>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</si>
  <si>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</si>
  <si>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</si>
  <si>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</si>
  <si>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</si>
  <si>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</si>
  <si>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</si>
  <si>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</si>
  <si>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</si>
  <si>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</si>
  <si>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</si>
  <si>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</si>
  <si>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</si>
  <si>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</si>
  <si>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</si>
  <si>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</si>
  <si>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</si>
  <si>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</si>
  <si>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</si>
  <si>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</si>
  <si>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</si>
  <si>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</si>
  <si>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</si>
  <si>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</si>
  <si>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</si>
  <si>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</si>
  <si>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</si>
  <si>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</si>
  <si>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</si>
  <si>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</si>
  <si>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</si>
  <si>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</si>
  <si>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</si>
  <si>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</si>
  <si>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</si>
  <si>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</si>
  <si>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</si>
  <si>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</si>
  <si>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</si>
  <si>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</si>
  <si>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</si>
  <si>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</si>
  <si>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</si>
  <si>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</si>
  <si>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</si>
  <si>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</si>
  <si>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</si>
  <si>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</si>
  <si>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</si>
  <si>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</si>
  <si>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</si>
  <si>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</si>
  <si>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</si>
  <si>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</si>
  <si>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</si>
  <si>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</si>
  <si>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</si>
  <si>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</si>
  <si>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</si>
  <si>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</si>
  <si>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</si>
  <si>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</si>
  <si>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</si>
  <si>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</si>
  <si>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</si>
  <si>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</si>
  <si>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</si>
  <si>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</si>
  <si>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</si>
  <si>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</si>
  <si>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</si>
  <si>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</si>
  <si>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</si>
  <si>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</si>
  <si>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</si>
  <si>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</si>
  <si>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</si>
  <si>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</si>
  <si>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</si>
  <si>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</si>
  <si>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</si>
  <si>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</si>
  <si>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</si>
  <si>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</si>
  <si>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</si>
  <si>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</si>
  <si>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</si>
  <si>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</si>
  <si>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</si>
  <si>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</si>
  <si>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</si>
  <si>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</si>
  <si>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</si>
  <si>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</si>
  <si>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</si>
  <si>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</si>
  <si>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</si>
  <si>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</si>
  <si>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</si>
  <si>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</si>
  <si>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</si>
  <si>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</si>
  <si>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</si>
  <si>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</si>
  <si>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</si>
  <si>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</si>
  <si>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</si>
  <si>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</si>
  <si>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</si>
  <si>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</si>
  <si>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</si>
  <si>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</si>
  <si>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</si>
  <si>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</si>
  <si>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</si>
  <si>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</si>
  <si>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</si>
  <si>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</si>
  <si>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</si>
  <si>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</si>
  <si>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</si>
  <si>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</si>
  <si>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</si>
  <si>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</si>
  <si>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</si>
  <si>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</si>
  <si>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</si>
  <si>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</si>
  <si>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</si>
  <si>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</si>
  <si>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</si>
  <si>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</si>
  <si>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</si>
  <si>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</si>
  <si>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</si>
  <si>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</si>
  <si>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</si>
  <si>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</si>
  <si>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</si>
  <si>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</si>
  <si>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</si>
  <si>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</si>
  <si>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</si>
  <si>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</si>
  <si>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</si>
  <si>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</si>
  <si>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</si>
  <si>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</si>
  <si>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</si>
  <si>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</si>
  <si>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</si>
  <si>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</si>
  <si>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</si>
  <si>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</si>
  <si>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</si>
  <si>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</si>
  <si>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</si>
  <si>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</si>
  <si>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</si>
  <si>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</si>
  <si>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</si>
  <si>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</si>
  <si>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</si>
  <si>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</si>
  <si>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</si>
  <si>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</si>
  <si>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</si>
  <si>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</si>
  <si>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</si>
  <si>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</si>
  <si>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</si>
  <si>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</si>
  <si>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</si>
  <si>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</si>
  <si>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</si>
  <si>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</si>
  <si>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</si>
  <si>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</si>
  <si>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</si>
  <si>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</si>
  <si>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</si>
  <si>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</si>
  <si>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</si>
  <si>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</si>
  <si>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</si>
  <si>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</si>
  <si>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</si>
  <si>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</si>
  <si>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</si>
  <si>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</si>
  <si>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</si>
  <si>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</si>
  <si>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</si>
  <si>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</si>
  <si>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</si>
  <si>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</si>
  <si>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</si>
  <si>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</si>
  <si>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</si>
  <si>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</si>
  <si>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</si>
  <si>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</si>
  <si>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</si>
  <si>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</si>
  <si>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</si>
  <si>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</si>
  <si>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</si>
  <si>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</si>
  <si>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</si>
  <si>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</si>
  <si>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</si>
  <si>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</si>
  <si>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</si>
  <si>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</si>
  <si>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</si>
  <si>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</si>
  <si>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</si>
  <si>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</si>
  <si>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</si>
  <si>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</si>
  <si>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</si>
  <si>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</si>
  <si>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</si>
  <si>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</si>
  <si>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</si>
  <si>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</si>
  <si>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</si>
  <si>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</si>
  <si>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</si>
  <si>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</si>
  <si>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</si>
  <si>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</si>
  <si>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</si>
  <si>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</si>
  <si>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</si>
  <si>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</si>
  <si>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</si>
  <si>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</si>
  <si>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</si>
  <si>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</si>
  <si>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</si>
  <si>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</si>
  <si>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</si>
  <si>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</si>
  <si>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</si>
  <si>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</si>
  <si>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</si>
  <si>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</si>
  <si>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</si>
  <si>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</si>
  <si>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</si>
  <si>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</si>
  <si>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</si>
  <si>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</si>
  <si>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</si>
  <si>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</si>
  <si>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</si>
  <si>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</si>
  <si>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</si>
  <si>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</si>
  <si>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</si>
  <si>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</si>
  <si>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</si>
  <si>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</si>
  <si>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</si>
  <si>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</si>
  <si>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</si>
  <si>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</si>
  <si>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</si>
  <si>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</si>
  <si>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</si>
  <si>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</si>
  <si>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</si>
  <si>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</si>
  <si>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</si>
  <si>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</si>
  <si>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</si>
  <si>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</si>
  <si>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</si>
  <si>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</si>
  <si>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</si>
  <si>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</si>
  <si>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</si>
  <si>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</si>
  <si>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</si>
  <si>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</si>
  <si>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</si>
  <si>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</si>
  <si>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</si>
  <si>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</si>
  <si>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</si>
  <si>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</si>
  <si>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</si>
  <si>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</si>
  <si>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</si>
  <si>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</si>
  <si>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</si>
  <si>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</si>
  <si>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</si>
  <si>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</si>
  <si>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</si>
  <si>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</si>
  <si>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</si>
  <si>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</si>
  <si>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</si>
  <si>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</si>
  <si>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</si>
  <si>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</si>
  <si>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</si>
  <si>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</si>
  <si>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</si>
  <si>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</si>
  <si>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</si>
  <si>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</si>
  <si>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</si>
  <si>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</si>
  <si>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</si>
  <si>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</si>
  <si>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</si>
  <si>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</si>
  <si>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</si>
  <si>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</si>
  <si>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</si>
  <si>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</si>
  <si>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</si>
  <si>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</si>
  <si>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</si>
  <si>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</si>
  <si>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</si>
  <si>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</si>
  <si>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</si>
  <si>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</si>
  <si>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</si>
  <si>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</si>
  <si>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</si>
  <si>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</si>
  <si>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</si>
  <si>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</si>
  <si>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</si>
  <si>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</si>
  <si>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</si>
  <si>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</si>
  <si>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</si>
  <si>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</si>
  <si>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</si>
  <si>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</si>
  <si>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</si>
  <si>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</si>
  <si>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</si>
  <si>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</si>
  <si>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</si>
  <si>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</si>
  <si>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</si>
  <si>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</si>
  <si>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</si>
  <si>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</si>
  <si>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</si>
  <si>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</si>
  <si>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</si>
  <si>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</si>
  <si>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</si>
  <si>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</si>
  <si>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</si>
  <si>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</si>
  <si>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</si>
  <si>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</si>
  <si>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</si>
  <si>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</si>
  <si>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</si>
  <si>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</si>
  <si>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</si>
  <si>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</si>
  <si>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</si>
  <si>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</si>
  <si>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</si>
  <si>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</si>
  <si>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</si>
  <si>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</si>
  <si>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</si>
  <si>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</si>
  <si>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</si>
  <si>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</si>
  <si>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</si>
  <si>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</si>
  <si>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</si>
  <si>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</si>
  <si>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</si>
  <si>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</si>
  <si>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</si>
  <si>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</si>
  <si>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</si>
  <si>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</si>
  <si>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</si>
  <si>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</si>
  <si>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</si>
  <si>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</si>
  <si>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</si>
  <si>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</si>
  <si>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</si>
  <si>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</si>
  <si>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</si>
  <si>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</si>
  <si>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</si>
  <si>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</si>
  <si>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</si>
  <si>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</si>
  <si>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</si>
  <si>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</si>
  <si>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</si>
  <si>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</si>
  <si>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</si>
  <si>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</si>
  <si>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</si>
  <si>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</si>
  <si>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</si>
  <si>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</si>
  <si>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</si>
  <si>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</si>
  <si>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</si>
  <si>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</si>
  <si>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</si>
  <si>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</si>
  <si>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</si>
  <si>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</si>
  <si>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</si>
  <si>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</si>
  <si>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</si>
  <si>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</si>
  <si>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</si>
  <si>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</si>
  <si>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</si>
  <si>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</si>
  <si>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</si>
  <si>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</si>
  <si>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</si>
  <si>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</si>
  <si>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</si>
  <si>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</si>
  <si>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</si>
  <si>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</si>
  <si>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</si>
  <si>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</si>
  <si>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</si>
  <si>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</si>
  <si>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</si>
  <si>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</si>
  <si>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</si>
  <si>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</si>
  <si>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</si>
  <si>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</si>
  <si>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</si>
  <si>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</si>
  <si>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</si>
  <si>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</si>
  <si>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</si>
  <si>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</si>
  <si>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</si>
  <si>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</si>
  <si>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</si>
  <si>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</si>
  <si>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</si>
  <si>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</si>
  <si>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</si>
  <si>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</si>
  <si>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</si>
  <si>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</si>
  <si>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</si>
  <si>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</si>
  <si>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</si>
  <si>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</si>
  <si>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</si>
  <si>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</si>
  <si>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</si>
  <si>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</si>
  <si>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</si>
  <si>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</si>
  <si>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</si>
  <si>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</si>
  <si>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</si>
  <si>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</si>
  <si>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</si>
  <si>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</si>
  <si>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</si>
  <si>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</si>
  <si>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</si>
  <si>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</si>
  <si>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</si>
  <si>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</si>
  <si>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</si>
  <si>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</si>
  <si>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</si>
  <si>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</si>
  <si>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</si>
  <si>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</si>
  <si>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</si>
  <si>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</si>
  <si>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</si>
  <si>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</si>
  <si>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</si>
  <si>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</si>
  <si>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</si>
  <si>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</si>
  <si>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</si>
  <si>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</si>
  <si>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</si>
  <si>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</si>
  <si>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</si>
  <si>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</si>
  <si>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</si>
  <si>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</si>
  <si>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</si>
  <si>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</si>
  <si>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</si>
  <si>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</si>
  <si>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</si>
  <si>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</si>
  <si>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</si>
  <si>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</si>
  <si>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</si>
  <si>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</si>
  <si>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</si>
  <si>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</si>
  <si>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</si>
  <si>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</si>
  <si>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</si>
  <si>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</si>
  <si>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</si>
  <si>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</si>
  <si>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</si>
  <si>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</si>
  <si>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</si>
  <si>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</si>
  <si>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</si>
  <si>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</si>
  <si>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</si>
  <si>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</si>
  <si>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</si>
  <si>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</si>
  <si>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</si>
  <si>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</si>
  <si>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</si>
  <si>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</si>
  <si>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</si>
  <si>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</si>
  <si>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</si>
  <si>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</si>
  <si>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</si>
  <si>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</si>
  <si>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</si>
  <si>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</si>
  <si>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</si>
  <si>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</si>
  <si>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</si>
  <si>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</si>
  <si>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</si>
  <si>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</si>
  <si>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</si>
  <si>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</si>
  <si>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</si>
  <si>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</si>
  <si>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</si>
  <si>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</si>
  <si>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</si>
  <si>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</si>
  <si>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</si>
  <si>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</si>
  <si>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</si>
  <si>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</si>
  <si>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</si>
  <si>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</si>
  <si>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</si>
  <si>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</si>
  <si>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</si>
  <si>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</si>
  <si>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</si>
  <si>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</si>
  <si>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</si>
  <si>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</si>
  <si>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</si>
  <si>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</si>
  <si>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</si>
  <si>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</si>
  <si>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</si>
  <si>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</si>
  <si>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</si>
  <si>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</si>
  <si>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</si>
  <si>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</si>
  <si>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</si>
  <si>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</si>
  <si>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</si>
  <si>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</si>
  <si>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</si>
  <si>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</si>
  <si>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</si>
  <si>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</si>
  <si>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</si>
  <si>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</si>
  <si>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</si>
  <si>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</si>
  <si>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</si>
  <si>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</si>
  <si>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</si>
  <si>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</si>
  <si>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</si>
  <si>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</si>
  <si>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</si>
  <si>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</si>
  <si>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</si>
  <si>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</si>
  <si>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</si>
  <si>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</si>
  <si>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</si>
  <si>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</si>
  <si>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</si>
  <si>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</si>
  <si>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</si>
  <si>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</si>
  <si>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</si>
  <si>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</si>
  <si>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</si>
  <si>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</si>
  <si>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</si>
  <si>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</si>
  <si>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</si>
  <si>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</si>
  <si>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</si>
  <si>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</si>
  <si>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</si>
  <si>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</si>
  <si>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</si>
  <si>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</si>
  <si>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</si>
  <si>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</si>
  <si>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</si>
  <si>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</si>
  <si>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</si>
  <si>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</si>
  <si>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</si>
  <si>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</si>
  <si>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</si>
  <si>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</si>
  <si>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</si>
  <si>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</si>
  <si>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</si>
  <si>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</si>
  <si>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</si>
  <si>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</si>
  <si>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</si>
  <si>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</si>
  <si>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</si>
  <si>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</si>
  <si>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</si>
  <si>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</si>
  <si>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</si>
  <si>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</si>
  <si>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</si>
  <si>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</si>
  <si>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</si>
  <si>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</si>
  <si>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</si>
  <si>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</si>
  <si>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</si>
  <si>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</si>
  <si>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</si>
  <si>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</si>
  <si>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</si>
  <si>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</si>
  <si>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</si>
  <si>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</si>
  <si>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</si>
  <si>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</si>
  <si>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</si>
  <si>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</si>
  <si>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</si>
  <si>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</si>
  <si>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</si>
  <si>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</si>
  <si>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</si>
  <si>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</si>
  <si>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</si>
  <si>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</si>
  <si>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</si>
  <si>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</si>
  <si>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</si>
  <si>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</si>
  <si>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</si>
  <si>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</si>
  <si>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</si>
  <si>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</si>
  <si>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</si>
  <si>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</si>
  <si>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</si>
  <si>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</si>
  <si>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</si>
  <si>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</si>
  <si>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</si>
  <si>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</si>
  <si>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</si>
  <si>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</si>
  <si>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</si>
  <si>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</si>
  <si>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</si>
  <si>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</si>
  <si>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</si>
  <si>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</si>
  <si>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</si>
  <si>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</si>
  <si>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</si>
  <si>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</si>
  <si>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</si>
  <si>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</si>
  <si>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</si>
  <si>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</si>
  <si>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</si>
  <si>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</si>
  <si>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</si>
  <si>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</si>
  <si>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</si>
  <si>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</si>
  <si>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</si>
  <si>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</si>
  <si>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</si>
  <si>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</si>
  <si>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</si>
  <si>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</si>
  <si>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</si>
  <si>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</si>
  <si>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</si>
  <si>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</si>
  <si>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</si>
  <si>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</si>
  <si>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</si>
  <si>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</si>
  <si>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</si>
  <si>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</si>
  <si>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</si>
  <si>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</si>
  <si>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</si>
  <si>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</si>
  <si>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</si>
  <si>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</si>
  <si>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</si>
  <si>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</si>
  <si>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</si>
  <si>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</si>
  <si>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</si>
  <si>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</si>
  <si>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</si>
  <si>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</si>
  <si>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</si>
  <si>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</si>
  <si>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</si>
  <si>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</si>
  <si>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</si>
  <si>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</si>
  <si>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</si>
  <si>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</si>
  <si>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</si>
  <si>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</si>
  <si>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</si>
  <si>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</si>
  <si>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</si>
  <si>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</si>
  <si>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</si>
  <si>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</si>
  <si>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</si>
  <si>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</si>
  <si>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</si>
  <si>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</si>
  <si>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</si>
  <si>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</si>
  <si>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</si>
  <si>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</si>
  <si>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</si>
  <si>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</si>
  <si>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</si>
  <si>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</si>
  <si>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</si>
  <si>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</si>
  <si>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</si>
  <si>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</si>
  <si>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</si>
  <si>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</si>
  <si>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</si>
  <si>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</si>
  <si>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</si>
  <si>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</si>
  <si>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</si>
  <si>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</si>
  <si>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</si>
  <si>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</si>
  <si>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</si>
  <si>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</si>
  <si>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</si>
  <si>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</si>
  <si>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</si>
  <si>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</si>
  <si>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</si>
  <si>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</si>
  <si>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</si>
  <si>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</si>
  <si>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</si>
  <si>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</si>
  <si>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</si>
  <si>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</si>
  <si>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</si>
  <si>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</si>
  <si>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</si>
  <si>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</si>
  <si>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</si>
  <si>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</si>
  <si>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</si>
  <si>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</si>
  <si>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</si>
  <si>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</si>
  <si>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</si>
  <si>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</si>
  <si>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</si>
  <si>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</si>
  <si>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</si>
  <si>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</si>
  <si>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</si>
  <si>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</si>
  <si>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</si>
  <si>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</si>
  <si>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</si>
  <si>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</si>
  <si>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</si>
  <si>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</si>
  <si>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</si>
  <si>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</si>
  <si>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</si>
  <si>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</si>
  <si>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</si>
  <si>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</si>
  <si>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</si>
  <si>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</si>
  <si>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</si>
  <si>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</si>
  <si>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</si>
  <si>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</si>
  <si>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</si>
  <si>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</si>
  <si>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</si>
  <si>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</si>
  <si>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</si>
  <si>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</si>
  <si>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</si>
  <si>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</si>
  <si>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</si>
  <si>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</si>
  <si>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</si>
  <si>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</si>
  <si>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</si>
  <si>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</si>
  <si>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</si>
  <si>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</si>
  <si>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</si>
  <si>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</si>
  <si>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</si>
  <si>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</si>
  <si>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</si>
  <si>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</si>
  <si>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</si>
  <si>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</si>
  <si>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</si>
  <si>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</si>
  <si>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</si>
  <si>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</si>
  <si>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</si>
  <si>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</si>
  <si>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</si>
  <si>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</si>
  <si>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</si>
  <si>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</si>
  <si>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</si>
  <si>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</si>
  <si>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</si>
  <si>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</si>
  <si>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</si>
  <si>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</si>
  <si>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</si>
  <si>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</si>
  <si>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</si>
  <si>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</si>
  <si>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</si>
  <si>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</si>
  <si>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</si>
  <si>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</si>
  <si>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</si>
  <si>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</si>
  <si>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</si>
  <si>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</si>
  <si>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</si>
  <si>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</si>
  <si>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</si>
  <si>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</si>
  <si>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</si>
  <si>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</si>
  <si>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</si>
  <si>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</si>
  <si>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</si>
  <si>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</si>
  <si>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</si>
  <si>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</si>
  <si>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</si>
  <si>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</si>
  <si>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</si>
  <si>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</si>
  <si>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</si>
  <si>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</si>
  <si>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</si>
  <si>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</si>
  <si>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</si>
  <si>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</si>
  <si>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</si>
  <si>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</si>
  <si>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</si>
  <si>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</si>
  <si>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</si>
  <si>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</si>
  <si>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</si>
  <si>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</si>
  <si>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</si>
  <si>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</si>
  <si>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</si>
  <si>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</si>
  <si>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</si>
  <si>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</si>
  <si>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</si>
  <si>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</si>
  <si>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</si>
  <si>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</si>
  <si>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</si>
  <si>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</si>
  <si>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</si>
  <si>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</si>
  <si>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</si>
  <si>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</si>
  <si>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</si>
  <si>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</si>
  <si>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</si>
  <si>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</si>
  <si>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</si>
  <si>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</si>
  <si>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</si>
  <si>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</si>
  <si>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</si>
  <si>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</si>
  <si>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</si>
  <si>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</si>
  <si>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</si>
  <si>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</si>
  <si>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</si>
  <si>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</si>
  <si>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</si>
  <si>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</si>
  <si>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</si>
  <si>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</si>
  <si>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</si>
  <si>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</si>
  <si>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</si>
  <si>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</si>
  <si>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</si>
  <si>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</si>
  <si>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</si>
  <si>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</si>
  <si>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</si>
  <si>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</si>
  <si>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</si>
  <si>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</si>
  <si>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</si>
  <si>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</si>
  <si>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</si>
  <si>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</si>
  <si>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</si>
  <si>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</si>
  <si>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</si>
  <si>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</si>
  <si>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</si>
  <si>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</si>
  <si>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</si>
  <si>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</si>
  <si>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</si>
  <si>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</si>
  <si>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</si>
  <si>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</si>
  <si>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</si>
  <si>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</si>
  <si>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</si>
  <si>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</si>
  <si>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</si>
  <si>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</si>
  <si>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</si>
  <si>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</si>
  <si>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</si>
  <si>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</si>
  <si>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</si>
  <si>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</si>
  <si>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</si>
  <si>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</si>
  <si>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</si>
  <si>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</si>
  <si>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</si>
  <si>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</si>
  <si>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</si>
  <si>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</si>
  <si>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</si>
  <si>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</si>
  <si>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</si>
  <si>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</si>
  <si>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</si>
  <si>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</si>
  <si>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</si>
  <si>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</si>
  <si>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</si>
  <si>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</si>
  <si>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</si>
  <si>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</si>
  <si>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</si>
  <si>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</si>
  <si>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</si>
  <si>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</si>
  <si>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</si>
  <si>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</si>
  <si>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</si>
  <si>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</si>
  <si>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</si>
  <si>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</si>
  <si>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</si>
  <si>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</si>
  <si>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</si>
  <si>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</si>
  <si>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</si>
  <si>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</si>
  <si>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</si>
  <si>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</si>
  <si>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</si>
  <si>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</si>
  <si>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</si>
  <si>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</si>
  <si>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</si>
  <si>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</si>
  <si>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</si>
  <si>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</si>
  <si>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</si>
  <si>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</si>
  <si>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</si>
  <si>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</si>
  <si>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</si>
  <si>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</si>
  <si>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</si>
  <si>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</si>
  <si>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</si>
  <si>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</si>
  <si>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</si>
  <si>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</si>
  <si>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</si>
  <si>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</si>
  <si>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</si>
  <si>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</si>
  <si>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</si>
  <si>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</si>
  <si>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</si>
  <si>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</si>
  <si>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</si>
  <si>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</si>
  <si>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</si>
  <si>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</si>
  <si>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</si>
  <si>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</si>
  <si>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</si>
  <si>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</si>
  <si>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</si>
  <si>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</si>
  <si>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</si>
  <si>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</si>
  <si>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</si>
  <si>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</si>
  <si>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</si>
  <si>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</si>
  <si>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</si>
  <si>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</si>
  <si>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</si>
  <si>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</si>
  <si>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</si>
  <si>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</si>
  <si>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</si>
  <si>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</si>
  <si>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</si>
  <si>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</si>
  <si>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</si>
  <si>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</si>
  <si>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</si>
  <si>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</si>
  <si>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</si>
  <si>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</si>
  <si>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</si>
  <si>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</si>
  <si>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</si>
  <si>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</si>
  <si>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</si>
  <si>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</si>
  <si>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</si>
  <si>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</si>
  <si>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</si>
  <si>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</si>
  <si>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</si>
  <si>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</si>
  <si>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</si>
  <si>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</si>
  <si>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</si>
  <si>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</si>
  <si>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</si>
  <si>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</si>
  <si>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</si>
  <si>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</si>
  <si>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</si>
  <si>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</si>
  <si>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</si>
  <si>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</si>
  <si>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</si>
  <si>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</si>
  <si>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</si>
  <si>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</si>
  <si>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</si>
  <si>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</si>
  <si>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</si>
  <si>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</si>
  <si>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</si>
  <si>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</si>
  <si>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</si>
  <si>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</si>
  <si>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</si>
  <si>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</si>
  <si>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</si>
  <si>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</si>
  <si>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</si>
  <si>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</si>
  <si>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</si>
  <si>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</si>
  <si>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</si>
  <si>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</si>
  <si>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</si>
  <si>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</si>
  <si>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</si>
  <si>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</si>
  <si>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</si>
  <si>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</si>
  <si>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</si>
  <si>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</si>
  <si>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</si>
  <si>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</si>
  <si>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</si>
  <si>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</si>
  <si>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</si>
  <si>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</si>
  <si>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</si>
  <si>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</si>
  <si>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</si>
  <si>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</si>
  <si>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</si>
  <si>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</si>
  <si>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</si>
  <si>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</si>
  <si>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</si>
  <si>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</si>
  <si>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</si>
  <si>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</si>
  <si>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</si>
  <si>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</si>
  <si>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</si>
  <si>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</si>
  <si>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</si>
  <si>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</si>
  <si>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</si>
  <si>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</si>
  <si>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</si>
  <si>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</si>
  <si>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</si>
  <si>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</si>
  <si>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</si>
  <si>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</si>
  <si>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</si>
  <si>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</si>
  <si>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</si>
  <si>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</si>
  <si>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</si>
  <si>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</si>
  <si>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</si>
  <si>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</si>
  <si>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</si>
  <si>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</si>
  <si>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</si>
  <si>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</si>
  <si>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</si>
  <si>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</si>
  <si>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</si>
  <si>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</si>
  <si>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</si>
  <si>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</si>
  <si>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</si>
  <si>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</si>
  <si>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</si>
  <si>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</si>
  <si>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</si>
  <si>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</si>
  <si>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</si>
  <si>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</si>
  <si>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</si>
  <si>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</si>
  <si>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</si>
  <si>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</si>
  <si>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</si>
  <si>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</si>
  <si>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</si>
  <si>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</si>
  <si>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</si>
  <si>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</si>
  <si>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</si>
  <si>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</si>
  <si>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</si>
  <si>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</si>
  <si>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</si>
  <si>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</si>
  <si>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</si>
  <si>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</si>
  <si>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</si>
  <si>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</si>
  <si>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</si>
  <si>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</si>
  <si>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</si>
  <si>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</si>
  <si>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</si>
  <si>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</si>
  <si>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</si>
  <si>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</si>
  <si>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</si>
  <si>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</si>
  <si>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</si>
  <si>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</si>
  <si>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</si>
  <si>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</si>
  <si>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</si>
  <si>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</si>
  <si>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</si>
  <si>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</si>
  <si>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</si>
  <si>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</si>
  <si>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</si>
  <si>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</si>
  <si>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</si>
  <si>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</si>
  <si>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</si>
  <si>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</si>
  <si>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</si>
  <si>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</si>
  <si>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</si>
  <si>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</si>
  <si>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</si>
  <si>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</si>
  <si>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</si>
  <si>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</si>
  <si>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</si>
  <si>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</si>
  <si>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</si>
  <si>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</si>
  <si>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</si>
  <si>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</si>
  <si>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</si>
  <si>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</si>
  <si>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</si>
  <si>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</si>
  <si>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</si>
  <si>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</si>
  <si>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</si>
  <si>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</si>
  <si>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</si>
  <si>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</si>
  <si>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</si>
  <si>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</si>
  <si>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</si>
  <si>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</si>
  <si>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</si>
  <si>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</si>
  <si>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</si>
  <si>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</si>
  <si>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</si>
  <si>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</si>
  <si>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</si>
  <si>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</si>
  <si>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</si>
  <si>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</si>
  <si>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</si>
  <si>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</si>
  <si>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</si>
  <si>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</si>
  <si>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</si>
  <si>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</si>
  <si>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</si>
  <si>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</si>
  <si>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</si>
  <si>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</si>
  <si>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</si>
  <si>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</si>
  <si>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</si>
  <si>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</si>
  <si>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</si>
  <si>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</si>
  <si>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</si>
  <si>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</si>
  <si>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</si>
  <si>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</si>
  <si>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</si>
  <si>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</si>
  <si>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</si>
  <si>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</si>
  <si>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</si>
  <si>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</si>
  <si>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</si>
  <si>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</si>
  <si>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</si>
  <si>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</si>
  <si>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</si>
  <si>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</si>
  <si>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</si>
  <si>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</si>
  <si>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</si>
  <si>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</si>
  <si>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</si>
  <si>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</si>
  <si>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</si>
  <si>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</si>
  <si>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</si>
  <si>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</si>
  <si>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</si>
  <si>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</si>
  <si>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</si>
  <si>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</si>
  <si>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</si>
  <si>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</si>
  <si>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</si>
  <si>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</si>
  <si>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</si>
  <si>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</si>
  <si>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</si>
  <si>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</si>
  <si>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</si>
  <si>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</si>
  <si>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</si>
  <si>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</si>
  <si>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</si>
  <si>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</si>
  <si>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</si>
  <si>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</si>
  <si>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</si>
  <si>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</si>
  <si>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</si>
  <si>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</si>
  <si>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</si>
  <si>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</si>
  <si>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</si>
  <si>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</si>
  <si>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</si>
  <si>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</si>
  <si>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</si>
  <si>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</si>
  <si>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</si>
  <si>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</si>
  <si>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</si>
  <si>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</si>
  <si>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</si>
  <si>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</si>
  <si>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</si>
  <si>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</si>
  <si>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</si>
  <si>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</si>
  <si>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</si>
  <si>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</si>
  <si>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</si>
  <si>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</si>
  <si>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</si>
  <si>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</si>
  <si>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</si>
  <si>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</si>
  <si>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</si>
  <si>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</si>
  <si>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</si>
  <si>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</si>
  <si>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</si>
  <si>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</si>
  <si>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</si>
  <si>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</si>
  <si>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</si>
  <si>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</si>
  <si>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</si>
  <si>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</si>
  <si>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</si>
  <si>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</si>
  <si>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</si>
  <si>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</si>
  <si>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</si>
  <si>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</si>
  <si>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</si>
  <si>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</si>
  <si>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</si>
  <si>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</si>
  <si>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</si>
  <si>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</si>
  <si>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</si>
  <si>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</si>
  <si>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</si>
  <si>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</si>
  <si>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</si>
  <si>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</si>
  <si>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</si>
  <si>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</si>
  <si>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</si>
  <si>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</si>
  <si>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</si>
  <si>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</si>
  <si>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</si>
  <si>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</si>
  <si>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</si>
  <si>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</si>
  <si>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</si>
  <si>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</si>
  <si>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</si>
  <si>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</si>
  <si>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</si>
  <si>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</si>
  <si>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</si>
  <si>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</si>
  <si>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</si>
  <si>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</si>
  <si>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</si>
  <si>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</si>
  <si>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</si>
  <si>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</si>
  <si>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</si>
  <si>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</si>
  <si>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</si>
  <si>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</si>
  <si>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</si>
  <si>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</si>
  <si>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</si>
  <si>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</si>
  <si>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</si>
  <si>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</si>
  <si>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</si>
  <si>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</si>
  <si>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</si>
  <si>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</si>
  <si>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</si>
  <si>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</si>
  <si>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</si>
  <si>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</si>
  <si>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</si>
  <si>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</si>
  <si>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</si>
  <si>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</si>
  <si>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</si>
  <si>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</si>
  <si>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</si>
  <si>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</si>
  <si>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</si>
  <si>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</si>
  <si>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</si>
  <si>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</si>
  <si>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</si>
  <si>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</si>
  <si>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</si>
  <si>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</si>
  <si>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</si>
  <si>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</si>
  <si>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</si>
  <si>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</si>
  <si>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</si>
  <si>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</si>
  <si>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</si>
  <si>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</si>
  <si>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</si>
  <si>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</si>
  <si>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</si>
  <si>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</si>
  <si>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</si>
  <si>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</si>
  <si>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</si>
  <si>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</si>
  <si>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</si>
  <si>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</si>
  <si>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</si>
  <si>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</si>
  <si>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</si>
  <si>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</si>
  <si>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</si>
  <si>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</si>
  <si>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</si>
  <si>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</si>
  <si>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</si>
  <si>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</si>
  <si>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</si>
  <si>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</si>
  <si>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</si>
  <si>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</si>
  <si>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</si>
  <si>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</si>
  <si>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</si>
  <si>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</si>
  <si>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</si>
  <si>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</si>
  <si>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</si>
  <si>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</si>
  <si>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</si>
  <si>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</si>
  <si>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</si>
  <si>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</si>
  <si>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</si>
  <si>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</si>
  <si>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</si>
  <si>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</si>
  <si>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</si>
  <si>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</si>
  <si>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</si>
  <si>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</si>
  <si>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</si>
  <si>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</si>
  <si>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</si>
  <si>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</si>
  <si>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</si>
  <si>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</si>
  <si>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</si>
  <si>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</si>
  <si>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</si>
  <si>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</si>
  <si>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</si>
  <si>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</si>
  <si>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</si>
  <si>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</si>
  <si>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</si>
  <si>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</si>
  <si>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</si>
  <si>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</si>
  <si>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</si>
  <si>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</si>
  <si>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</si>
  <si>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</si>
  <si>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</si>
  <si>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</si>
  <si>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</si>
  <si>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</si>
  <si>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</si>
  <si>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</si>
  <si>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</si>
  <si>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</si>
  <si>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</si>
  <si>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</si>
  <si>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</si>
  <si>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</si>
  <si>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</si>
  <si>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</si>
  <si>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</si>
  <si>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</si>
  <si>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</si>
  <si>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</si>
  <si>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</si>
  <si>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</si>
  <si>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</si>
  <si>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</si>
  <si>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</si>
  <si>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</si>
  <si>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</si>
  <si>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</si>
  <si>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</si>
  <si>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</si>
  <si>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</si>
  <si>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</si>
  <si>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</si>
  <si>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</si>
  <si>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</si>
  <si>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</si>
  <si>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</si>
  <si>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</si>
  <si>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</si>
  <si>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</si>
  <si>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</si>
  <si>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</si>
  <si>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</si>
  <si>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</si>
  <si>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</si>
  <si>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</si>
  <si>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</si>
  <si>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</si>
  <si>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</si>
  <si>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</si>
  <si>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</si>
  <si>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</si>
  <si>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</si>
  <si>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</si>
  <si>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</si>
  <si>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</si>
  <si>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</si>
  <si>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</si>
  <si>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</si>
  <si>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</si>
  <si>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</si>
  <si>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</si>
  <si>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</si>
  <si>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</si>
  <si>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</si>
  <si>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</si>
  <si>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</si>
  <si>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</si>
  <si>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</si>
  <si>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</si>
  <si>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</si>
  <si>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</si>
  <si>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</si>
  <si>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</si>
  <si>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</si>
  <si>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</si>
  <si>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</si>
  <si>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</si>
  <si>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</si>
  <si>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</si>
  <si>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</si>
  <si>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</si>
  <si>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</si>
  <si>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</si>
  <si>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</si>
  <si>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</si>
  <si>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</si>
  <si>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</si>
  <si>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</si>
  <si>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</si>
  <si>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</si>
  <si>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</si>
  <si>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</si>
  <si>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</si>
  <si>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</si>
  <si>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</si>
  <si>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</si>
  <si>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</si>
  <si>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</si>
  <si>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</si>
  <si>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</si>
  <si>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</si>
  <si>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</si>
  <si>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</si>
  <si>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</si>
  <si>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</si>
  <si>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</si>
  <si>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</si>
  <si>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</si>
  <si>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</si>
  <si>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</si>
  <si>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</si>
  <si>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</si>
  <si>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</si>
  <si>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</si>
  <si>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</si>
  <si>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</si>
  <si>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</si>
  <si>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</si>
  <si>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</si>
  <si>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</si>
  <si>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</si>
  <si>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</si>
  <si>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</si>
  <si>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</si>
  <si>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</si>
  <si>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</si>
  <si>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</si>
  <si>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</si>
  <si>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</si>
  <si>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</si>
  <si>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</si>
  <si>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</si>
  <si>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</si>
  <si>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</si>
  <si>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</si>
  <si>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</si>
  <si>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</si>
  <si>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</si>
  <si>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</si>
  <si>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</si>
  <si>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</si>
  <si>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</si>
  <si>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</si>
  <si>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</si>
  <si>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</si>
  <si>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</si>
  <si>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</si>
  <si>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</si>
  <si>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</si>
  <si>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</si>
  <si>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</si>
  <si>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</si>
  <si>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</si>
  <si>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</si>
  <si>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</si>
  <si>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</si>
  <si>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</si>
  <si>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</si>
  <si>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</si>
  <si>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</si>
  <si>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</si>
  <si>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</si>
  <si>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</si>
  <si>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</si>
  <si>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</si>
  <si>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</si>
  <si>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</si>
  <si>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</si>
  <si>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</si>
  <si>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</si>
  <si>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</si>
  <si>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</si>
  <si>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</si>
  <si>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</si>
  <si>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</si>
  <si>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</si>
  <si>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</si>
  <si>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</si>
  <si>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</si>
  <si>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</si>
  <si>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</si>
  <si>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</si>
  <si>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</si>
  <si>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</si>
  <si>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</si>
  <si>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</si>
  <si>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</si>
  <si>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</si>
  <si>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</si>
  <si>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</si>
  <si>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</si>
  <si>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</si>
  <si>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</si>
  <si>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</si>
  <si>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</si>
  <si>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</si>
  <si>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</si>
  <si>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</si>
  <si>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</si>
  <si>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</si>
  <si>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</si>
  <si>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</si>
  <si>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</si>
  <si>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</si>
  <si>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</si>
  <si>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</si>
  <si>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</si>
  <si>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</si>
  <si>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</si>
  <si>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</si>
  <si>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</si>
  <si>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</si>
  <si>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</si>
  <si>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</si>
  <si>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</si>
  <si>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</si>
  <si>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</si>
  <si>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</si>
  <si>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</si>
  <si>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</si>
  <si>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</si>
  <si>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</si>
  <si>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</si>
  <si>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</si>
  <si>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</si>
  <si>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</si>
  <si>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</si>
  <si>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</si>
  <si>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</si>
  <si>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</si>
  <si>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</si>
  <si>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</si>
  <si>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</si>
  <si>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</si>
  <si>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</si>
  <si>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</si>
  <si>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</si>
  <si>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</si>
  <si>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</si>
  <si>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</si>
  <si>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</si>
  <si>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</si>
  <si>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</si>
  <si>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</si>
  <si>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</si>
  <si>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</si>
  <si>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</si>
  <si>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</si>
  <si>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</si>
  <si>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</si>
  <si>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</si>
  <si>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</si>
  <si>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</si>
  <si>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</si>
  <si>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</si>
  <si>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</si>
  <si>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</si>
  <si>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</si>
  <si>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</si>
  <si>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</si>
  <si>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</si>
  <si>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</si>
  <si>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</si>
  <si>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</si>
  <si>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</si>
  <si>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</si>
  <si>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</si>
  <si>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</si>
  <si>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</si>
  <si>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</si>
  <si>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</si>
  <si>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</si>
  <si>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</si>
  <si>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</si>
  <si>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</si>
  <si>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</si>
  <si>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</si>
  <si>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</si>
  <si>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</si>
  <si>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</si>
  <si>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</si>
  <si>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</si>
  <si>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</si>
  <si>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</si>
  <si>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</si>
  <si>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</si>
  <si>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</si>
  <si>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</si>
  <si>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</si>
  <si>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</si>
  <si>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</si>
  <si>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</si>
  <si>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</si>
  <si>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</si>
  <si>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</si>
  <si>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</si>
  <si>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</si>
  <si>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</si>
  <si>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</si>
  <si>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</si>
  <si>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</si>
  <si>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</si>
  <si>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</si>
  <si>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</si>
  <si>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</si>
  <si>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</si>
  <si>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</si>
  <si>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</si>
  <si>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</si>
  <si>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</si>
  <si>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</si>
  <si>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</si>
  <si>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</si>
  <si>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</si>
  <si>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</si>
  <si>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</si>
  <si>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</si>
  <si>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</si>
  <si>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</si>
  <si>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</si>
  <si>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</si>
  <si>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</si>
  <si>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</si>
  <si>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</si>
  <si>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</si>
  <si>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</si>
  <si>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</si>
  <si>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</si>
  <si>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</si>
  <si>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</si>
  <si>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</si>
  <si>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</si>
  <si>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</si>
  <si>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</si>
  <si>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</si>
  <si>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</si>
  <si>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</si>
  <si>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</si>
  <si>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</si>
  <si>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</si>
  <si>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</si>
  <si>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</si>
  <si>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</si>
  <si>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</si>
  <si>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</si>
  <si>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</si>
  <si>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</si>
  <si>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</si>
  <si>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</si>
  <si>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</si>
  <si>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</si>
  <si>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</si>
  <si>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</si>
  <si>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</si>
  <si>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</si>
  <si>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</si>
  <si>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</si>
  <si>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</si>
  <si>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</si>
  <si>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</si>
  <si>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</si>
  <si>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</si>
  <si>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</si>
  <si>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</si>
  <si>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</si>
  <si>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</si>
  <si>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</si>
  <si>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</si>
  <si>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</si>
  <si>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</si>
  <si>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</si>
  <si>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</si>
  <si>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</si>
  <si>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</si>
  <si>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</si>
  <si>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</si>
  <si>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</si>
  <si>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</si>
  <si>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</si>
  <si>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</si>
  <si>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</si>
  <si>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</si>
  <si>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</si>
  <si>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</si>
  <si>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</si>
  <si>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</si>
  <si>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</si>
  <si>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</si>
  <si>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</si>
  <si>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</si>
  <si>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</si>
  <si>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</si>
  <si>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</si>
  <si>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</si>
  <si>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</si>
  <si>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</si>
  <si>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</si>
  <si>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</si>
  <si>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</si>
  <si>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</si>
  <si>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</si>
  <si>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</si>
  <si>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</si>
  <si>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</si>
  <si>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</si>
  <si>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</si>
  <si>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</si>
  <si>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</si>
  <si>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</si>
  <si>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</si>
  <si>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</si>
  <si>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</si>
  <si>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</si>
  <si>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</si>
  <si>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</si>
  <si>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</si>
  <si>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</si>
  <si>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</si>
  <si>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</si>
  <si>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</si>
  <si>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</si>
  <si>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</si>
  <si>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</si>
  <si>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</si>
  <si>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</si>
  <si>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</si>
  <si>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</si>
  <si>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</si>
  <si>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</si>
  <si>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</si>
  <si>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</si>
  <si>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</si>
  <si>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</si>
  <si>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</si>
  <si>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</si>
  <si>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</si>
  <si>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</si>
  <si>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</si>
  <si>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</si>
  <si>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</si>
  <si>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</si>
  <si>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</si>
  <si>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</si>
  <si>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</si>
  <si>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</si>
  <si>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</si>
  <si>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</si>
  <si>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</si>
  <si>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</si>
  <si>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</si>
  <si>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</si>
  <si>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</si>
  <si>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</si>
  <si>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</si>
  <si>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</si>
  <si>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</si>
  <si>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</si>
  <si>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</si>
  <si>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</si>
  <si>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</si>
  <si>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</si>
  <si>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</si>
  <si>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</si>
  <si>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</si>
  <si>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</si>
  <si>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</si>
  <si>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</si>
  <si>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</si>
  <si>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</si>
  <si>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</si>
  <si>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</si>
  <si>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</si>
  <si>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</si>
  <si>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</si>
  <si>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</si>
  <si>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</si>
  <si>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</si>
  <si>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</si>
  <si>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</si>
  <si>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</si>
  <si>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</si>
  <si>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</si>
  <si>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</si>
  <si>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</si>
  <si>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</si>
  <si>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</si>
  <si>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</si>
  <si>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</si>
  <si>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</si>
  <si>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</si>
  <si>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</si>
  <si>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</si>
  <si>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</si>
  <si>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</si>
  <si>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</si>
  <si>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</si>
  <si>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</si>
  <si>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</si>
  <si>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</si>
  <si>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</si>
  <si>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</si>
  <si>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</si>
  <si>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</si>
  <si>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</si>
  <si>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</si>
  <si>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</si>
  <si>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</si>
  <si>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</si>
  <si>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</si>
  <si>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</si>
  <si>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</si>
  <si>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</si>
  <si>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</si>
  <si>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</si>
  <si>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</si>
  <si>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</si>
  <si>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</si>
  <si>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</si>
  <si>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</si>
  <si>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</si>
  <si>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</si>
  <si>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</si>
  <si>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</si>
  <si>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</si>
  <si>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</si>
  <si>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</si>
  <si>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</si>
  <si>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</si>
  <si>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</si>
  <si>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</si>
  <si>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</si>
  <si>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</si>
  <si>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</si>
  <si>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</si>
  <si>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</si>
  <si>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</si>
  <si>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</si>
  <si>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</si>
  <si>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</si>
  <si>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</si>
  <si>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</si>
  <si>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</si>
  <si>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</si>
  <si>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</si>
  <si>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</si>
  <si>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</si>
  <si>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</si>
  <si>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</si>
  <si>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</si>
  <si>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</si>
  <si>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</si>
  <si>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</si>
  <si>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</si>
  <si>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</si>
  <si>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</si>
  <si>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</si>
  <si>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</si>
  <si>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</si>
  <si>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</si>
  <si>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</si>
  <si>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</si>
  <si>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</si>
  <si>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</si>
  <si>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</si>
  <si>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</si>
  <si>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</si>
  <si>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</si>
  <si>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</si>
  <si>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</si>
  <si>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</si>
  <si>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</si>
  <si>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</si>
  <si>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</si>
  <si>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</si>
  <si>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</si>
  <si>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</si>
  <si>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</si>
  <si>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</si>
  <si>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</si>
  <si>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</si>
  <si>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</si>
  <si>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</si>
  <si>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</si>
  <si>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</si>
  <si>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</si>
  <si>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</si>
  <si>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</si>
  <si>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</si>
  <si>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</si>
  <si>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</si>
  <si>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</si>
  <si>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</si>
  <si>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</si>
  <si>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</si>
  <si>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</si>
  <si>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</si>
  <si>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</si>
  <si>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</si>
  <si>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</si>
  <si>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</si>
  <si>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</si>
  <si>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</si>
  <si>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</si>
  <si>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</si>
  <si>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</si>
  <si>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</si>
  <si>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</si>
  <si>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</si>
  <si>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</si>
  <si>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</si>
  <si>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</si>
  <si>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</si>
  <si>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</si>
  <si>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</si>
  <si>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</si>
  <si>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</si>
  <si>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</si>
  <si>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</si>
  <si>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</si>
  <si>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</si>
  <si>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</si>
  <si>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</si>
  <si>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</si>
  <si>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</si>
  <si>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</si>
  <si>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</si>
  <si>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</si>
  <si>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</si>
  <si>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</si>
  <si>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</si>
  <si>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</si>
  <si>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</si>
  <si>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</si>
  <si>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</si>
  <si>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</si>
  <si>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</si>
  <si>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</si>
  <si>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</si>
  <si>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</si>
  <si>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</si>
  <si>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</si>
  <si>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</si>
  <si>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</si>
  <si>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</si>
  <si>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</si>
  <si>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</si>
  <si>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</si>
  <si>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</si>
  <si>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</si>
  <si>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</si>
  <si>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</si>
  <si>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</si>
  <si>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</si>
  <si>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</si>
  <si>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</si>
  <si>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</si>
  <si>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</si>
  <si>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</si>
  <si>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</si>
  <si>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</si>
  <si>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</si>
  <si>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</si>
  <si>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</si>
  <si>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</si>
  <si>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</si>
  <si>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</si>
  <si>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</si>
  <si>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</si>
  <si>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</si>
  <si>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</si>
  <si>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</si>
  <si>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</si>
  <si>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</si>
  <si>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</si>
  <si>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</si>
  <si>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</si>
  <si>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</si>
  <si>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</si>
  <si>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</si>
  <si>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</si>
  <si>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</si>
  <si>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</si>
  <si>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</si>
  <si>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</si>
  <si>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</si>
  <si>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</si>
  <si>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</si>
  <si>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</si>
  <si>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</si>
  <si>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</si>
  <si>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</si>
  <si>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</si>
  <si>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</si>
  <si>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</si>
  <si>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</si>
  <si>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</si>
  <si>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</si>
  <si>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</si>
  <si>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</si>
  <si>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</si>
  <si>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</si>
  <si>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</si>
  <si>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</si>
  <si>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</si>
  <si>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</si>
  <si>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</si>
  <si>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</si>
  <si>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</si>
  <si>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</si>
  <si>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</si>
  <si>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</si>
  <si>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</si>
  <si>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</si>
  <si>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</si>
  <si>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</si>
  <si>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</si>
  <si>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</si>
  <si>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</si>
  <si>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</si>
  <si>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</si>
  <si>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</si>
  <si>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</si>
  <si>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</si>
  <si>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</si>
  <si>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</si>
  <si>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</si>
  <si>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</si>
  <si>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</si>
  <si>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</si>
  <si>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</si>
  <si>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</si>
  <si>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</si>
  <si>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</si>
  <si>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</si>
  <si>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</si>
  <si>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</si>
  <si>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</si>
  <si>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</si>
  <si>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</si>
  <si>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</si>
  <si>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</si>
  <si>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</si>
  <si>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</si>
  <si>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</si>
  <si>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</si>
  <si>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</si>
  <si>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</si>
  <si>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</si>
  <si>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</si>
  <si>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</si>
  <si>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</si>
  <si>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</si>
  <si>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</si>
  <si>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</si>
  <si>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</si>
  <si>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</si>
  <si>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</si>
  <si>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</si>
  <si>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</si>
  <si>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</si>
  <si>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</si>
  <si>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</si>
  <si>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</si>
  <si>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</si>
  <si>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</si>
  <si>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</si>
  <si>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</si>
  <si>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</si>
  <si>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</si>
  <si>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</si>
  <si>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</si>
  <si>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</si>
  <si>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</si>
  <si>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</si>
  <si>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</si>
  <si>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</si>
  <si>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</si>
  <si>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</si>
  <si>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</si>
  <si>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</si>
  <si>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</si>
  <si>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</si>
  <si>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</si>
  <si>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</si>
  <si>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</si>
  <si>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</si>
  <si>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</si>
  <si>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</si>
  <si>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</si>
  <si>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</si>
  <si>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</si>
  <si>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</si>
  <si>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</si>
  <si>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</si>
  <si>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</si>
  <si>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</si>
  <si>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</si>
  <si>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</si>
  <si>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</si>
  <si>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</si>
  <si>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</si>
  <si>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</si>
  <si>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</si>
  <si>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</si>
  <si>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</si>
  <si>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</si>
  <si>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</si>
  <si>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</si>
  <si>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</si>
  <si>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</si>
  <si>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</si>
  <si>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</si>
  <si>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</si>
  <si>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</si>
  <si>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</si>
  <si>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</si>
  <si>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</si>
  <si>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</si>
  <si>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</si>
  <si>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</si>
  <si>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</si>
  <si>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</si>
  <si>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</si>
  <si>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</si>
  <si>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</si>
  <si>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</si>
  <si>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</si>
  <si>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</si>
  <si>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</si>
  <si>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</si>
  <si>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</si>
  <si>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</si>
  <si>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</si>
  <si>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</si>
  <si>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</si>
  <si>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</si>
  <si>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</si>
  <si>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</si>
  <si>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</si>
  <si>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</si>
  <si>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</si>
  <si>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</si>
  <si>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</si>
  <si>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</si>
  <si>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</si>
  <si>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</si>
  <si>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</si>
  <si>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</si>
  <si>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</si>
  <si>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</si>
  <si>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</si>
  <si>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</si>
  <si>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</si>
  <si>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</si>
  <si>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</si>
  <si>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</si>
  <si>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</si>
  <si>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</si>
  <si>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</si>
  <si>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</si>
  <si>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</si>
  <si>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</si>
  <si>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</si>
  <si>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</si>
  <si>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</si>
  <si>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</si>
  <si>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</si>
  <si>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</si>
  <si>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</si>
  <si>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</si>
  <si>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</si>
  <si>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</si>
  <si>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</si>
  <si>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</si>
  <si>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</si>
  <si>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</si>
  <si>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</si>
  <si>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</si>
  <si>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</si>
  <si>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</si>
  <si>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</si>
  <si>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</si>
  <si>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</si>
  <si>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</si>
  <si>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</si>
  <si>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</si>
  <si>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</si>
  <si>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</si>
  <si>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</si>
  <si>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</si>
  <si>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</si>
  <si>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</si>
  <si>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</si>
  <si>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</si>
  <si>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</si>
  <si>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</si>
  <si>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</si>
  <si>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</si>
  <si>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</si>
  <si>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</si>
  <si>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</si>
  <si>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</si>
  <si>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</si>
  <si>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</si>
  <si>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</si>
  <si>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</si>
  <si>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</si>
  <si>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</si>
  <si>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</si>
  <si>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</si>
  <si>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</si>
  <si>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</si>
  <si>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</si>
  <si>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</si>
  <si>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</si>
  <si>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</si>
  <si>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</si>
  <si>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</si>
  <si>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</si>
  <si>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</si>
  <si>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</si>
  <si>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</si>
  <si>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</si>
  <si>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</si>
  <si>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</si>
  <si>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</si>
  <si>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</si>
  <si>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</si>
  <si>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</si>
  <si>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</si>
  <si>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</si>
  <si>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</si>
  <si>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</si>
  <si>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</si>
  <si>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</si>
  <si>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</si>
  <si>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</si>
  <si>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</si>
  <si>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</si>
  <si>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</si>
  <si>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</si>
  <si>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</si>
  <si>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</si>
  <si>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</si>
  <si>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</si>
  <si>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</si>
  <si>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</si>
  <si>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</si>
  <si>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</si>
  <si>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</si>
  <si>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</si>
  <si>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</si>
  <si>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</si>
  <si>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</si>
  <si>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</si>
  <si>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</si>
  <si>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</si>
  <si>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</si>
  <si>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</si>
  <si>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</si>
  <si>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</si>
  <si>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</si>
  <si>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</si>
  <si>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</si>
  <si>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</si>
  <si>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</si>
  <si>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</si>
  <si>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</si>
  <si>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</si>
  <si>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</si>
  <si>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</si>
  <si>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</si>
  <si>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</si>
  <si>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</si>
  <si>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</si>
  <si>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</si>
  <si>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</si>
  <si>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</si>
  <si>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</si>
  <si>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</si>
  <si>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</si>
  <si>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</si>
  <si>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</si>
  <si>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</si>
  <si>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</si>
  <si>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</si>
  <si>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</si>
  <si>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</si>
  <si>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</si>
  <si>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</si>
  <si>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</si>
  <si>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</si>
  <si>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</si>
  <si>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</si>
  <si>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</si>
  <si>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</si>
  <si>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</si>
  <si>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</si>
  <si>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</si>
  <si>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</si>
  <si>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</si>
  <si>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</si>
  <si>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</si>
  <si>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</si>
  <si>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</si>
  <si>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</si>
  <si>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</si>
  <si>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</si>
  <si>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</si>
  <si>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</si>
  <si>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</si>
  <si>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</si>
  <si>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</si>
  <si>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</si>
  <si>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</si>
  <si>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</si>
  <si>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</si>
  <si>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</si>
  <si>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</si>
  <si>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</si>
  <si>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</si>
  <si>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</si>
  <si>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</si>
  <si>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</si>
  <si>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</si>
  <si>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</si>
  <si>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</si>
  <si>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</si>
  <si>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</si>
  <si>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</si>
  <si>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</si>
  <si>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</si>
  <si>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</si>
  <si>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</si>
  <si>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</si>
  <si>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</si>
  <si>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</si>
  <si>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</si>
  <si>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</si>
  <si>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</si>
  <si>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</si>
  <si>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</si>
  <si>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</si>
  <si>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</si>
  <si>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</si>
  <si>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</si>
  <si>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</si>
  <si>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</si>
  <si>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</si>
  <si>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</si>
  <si>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</si>
  <si>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</si>
  <si>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</si>
  <si>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</si>
  <si>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</si>
  <si>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</si>
  <si>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</si>
  <si>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</si>
  <si>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</si>
  <si>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</si>
  <si>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</si>
  <si>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</si>
  <si>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</si>
  <si>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</si>
  <si>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</si>
  <si>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</si>
  <si>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</si>
  <si>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</si>
  <si>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</si>
  <si>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</si>
  <si>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</si>
  <si>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</si>
  <si>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</si>
  <si>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</si>
  <si>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</si>
  <si>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</si>
  <si>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</si>
  <si>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</si>
  <si>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</si>
  <si>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</si>
  <si>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</si>
  <si>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</si>
  <si>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</si>
  <si>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</si>
  <si>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</si>
  <si>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</si>
  <si>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</si>
  <si>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</si>
  <si>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</si>
  <si>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</si>
  <si>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</si>
  <si>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</si>
  <si>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</si>
  <si>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</si>
  <si>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</si>
  <si>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</si>
  <si>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</si>
  <si>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</si>
  <si>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</si>
  <si>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</si>
  <si>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</si>
  <si>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</si>
  <si>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</si>
  <si>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</si>
  <si>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</si>
  <si>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</si>
  <si>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</si>
  <si>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</si>
  <si>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</si>
  <si>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</si>
  <si>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</si>
  <si>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</si>
  <si>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</si>
  <si>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</si>
  <si>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</si>
  <si>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</si>
  <si>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</si>
  <si>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</si>
  <si>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</si>
  <si>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</si>
  <si>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</si>
  <si>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</si>
  <si>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</si>
  <si>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</si>
  <si>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</si>
  <si>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</si>
  <si>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</si>
  <si>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</si>
  <si>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</si>
  <si>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</si>
  <si>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</si>
  <si>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</si>
  <si>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</si>
  <si>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</si>
  <si>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</si>
  <si>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</si>
  <si>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</si>
  <si>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</si>
  <si>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</si>
  <si>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</si>
  <si>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</si>
  <si>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</si>
  <si>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</si>
  <si>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</si>
  <si>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</si>
  <si>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</si>
  <si>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</si>
  <si>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</si>
  <si>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</si>
  <si>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</si>
  <si>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</si>
  <si>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</si>
  <si>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</si>
  <si>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</si>
  <si>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</si>
  <si>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</si>
  <si>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</si>
  <si>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</si>
  <si>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</si>
  <si>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</si>
  <si>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</si>
  <si>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</si>
  <si>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</si>
  <si>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</si>
  <si>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</si>
  <si>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</si>
  <si>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</si>
  <si>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</si>
  <si>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</si>
  <si>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</si>
  <si>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</si>
  <si>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</si>
  <si>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</si>
  <si>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</si>
  <si>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</si>
  <si>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</si>
  <si>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</si>
  <si>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</si>
  <si>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</si>
  <si>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</si>
  <si>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</si>
  <si>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</si>
  <si>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</si>
  <si>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</si>
  <si>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</si>
  <si>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</si>
  <si>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</si>
  <si>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</si>
  <si>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</si>
  <si>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</si>
  <si>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</si>
  <si>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</si>
  <si>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</si>
  <si>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</si>
  <si>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</si>
  <si>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</si>
  <si>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</si>
  <si>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</si>
  <si>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</si>
  <si>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</si>
  <si>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</si>
  <si>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</si>
  <si>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</si>
  <si>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</si>
  <si>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</si>
  <si>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</si>
  <si>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</si>
  <si>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</si>
  <si>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</si>
  <si>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</si>
  <si>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</si>
  <si>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</si>
  <si>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</si>
  <si>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</si>
  <si>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</si>
  <si>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</si>
  <si>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</si>
  <si>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</si>
  <si>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</si>
  <si>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</si>
  <si>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</si>
  <si>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</si>
  <si>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</si>
  <si>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</si>
  <si>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</si>
  <si>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</si>
  <si>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</si>
  <si>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</si>
  <si>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</si>
  <si>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</si>
  <si>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</si>
  <si>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</si>
  <si>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</si>
  <si>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</si>
  <si>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</si>
  <si>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</si>
  <si>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</si>
  <si>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</si>
  <si>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</si>
  <si>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</si>
  <si>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</si>
  <si>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</si>
  <si>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</si>
  <si>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</si>
  <si>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</si>
  <si>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</si>
  <si>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</si>
  <si>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</si>
  <si>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</si>
  <si>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</si>
  <si>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</si>
  <si>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</si>
  <si>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</si>
  <si>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</si>
  <si>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</si>
  <si>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</si>
  <si>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</si>
  <si>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</si>
  <si>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</si>
  <si>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</si>
  <si>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</si>
  <si>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</si>
  <si>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</si>
  <si>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</si>
  <si>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</si>
  <si>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</si>
  <si>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</si>
  <si>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</si>
  <si>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</si>
  <si>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</si>
  <si>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</si>
  <si>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</si>
  <si>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</si>
  <si>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</si>
  <si>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</si>
  <si>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</si>
  <si>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</si>
  <si>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</si>
  <si>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</si>
  <si>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</si>
  <si>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</si>
  <si>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</si>
  <si>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</si>
  <si>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</si>
  <si>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</si>
  <si>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</si>
  <si>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</si>
  <si>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</si>
  <si>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</si>
  <si>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</si>
  <si>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</si>
  <si>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</si>
  <si>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</si>
  <si>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</si>
  <si>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</si>
  <si>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</si>
  <si>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</si>
  <si>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</si>
  <si>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</si>
  <si>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</si>
  <si>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</si>
  <si>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</si>
  <si>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</si>
  <si>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</si>
  <si>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</si>
  <si>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</si>
  <si>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</si>
  <si>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</si>
  <si>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</si>
  <si>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</si>
  <si>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</si>
  <si>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</si>
  <si>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</si>
  <si>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</si>
  <si>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</si>
  <si>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</si>
  <si>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</si>
  <si>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</si>
  <si>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</si>
  <si>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</si>
  <si>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</si>
  <si>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</si>
  <si>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</si>
  <si>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</si>
  <si>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</si>
  <si>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</si>
  <si>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</si>
  <si>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</si>
  <si>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</si>
  <si>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</si>
  <si>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</si>
  <si>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</si>
  <si>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</si>
  <si>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</si>
  <si>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</si>
  <si>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</si>
  <si>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</si>
  <si>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</si>
  <si>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</si>
  <si>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</si>
  <si>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</si>
  <si>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</si>
  <si>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</si>
  <si>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</si>
  <si>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</si>
  <si>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</si>
  <si>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</si>
  <si>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</si>
  <si>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</si>
  <si>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</si>
  <si>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</si>
  <si>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</si>
  <si>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</si>
  <si>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</si>
  <si>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</si>
  <si>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</si>
  <si>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</si>
  <si>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</si>
  <si>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</si>
  <si>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</si>
  <si>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</si>
  <si>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</si>
  <si>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</si>
  <si>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</si>
  <si>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</si>
  <si>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</si>
  <si>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</si>
  <si>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</si>
  <si>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</si>
  <si>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</si>
  <si>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</si>
  <si>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</si>
  <si>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</si>
  <si>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</si>
  <si>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</si>
  <si>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</si>
  <si>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</si>
  <si>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</si>
  <si>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</si>
  <si>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</si>
  <si>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</si>
  <si>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</si>
  <si>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</si>
  <si>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</si>
  <si>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</si>
  <si>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</si>
  <si>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</si>
  <si>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</si>
  <si>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</si>
  <si>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</si>
  <si>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</si>
  <si>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</si>
  <si>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</si>
  <si>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</si>
  <si>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</si>
  <si>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</si>
  <si>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</si>
  <si>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</si>
  <si>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</si>
  <si>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</si>
  <si>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</si>
  <si>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</si>
  <si>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</si>
  <si>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</si>
  <si>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</si>
  <si>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</si>
  <si>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</si>
  <si>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</si>
  <si>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</si>
  <si>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</si>
  <si>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</si>
  <si>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</si>
  <si>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</si>
  <si>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</si>
  <si>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</si>
  <si>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</si>
  <si>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</si>
  <si>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</si>
  <si>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</si>
  <si>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</si>
  <si>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</si>
  <si>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</si>
  <si>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</si>
  <si>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</si>
  <si>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</si>
  <si>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</si>
  <si>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</si>
  <si>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</si>
  <si>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</si>
  <si>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</si>
  <si>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</si>
  <si>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</si>
  <si>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</si>
  <si>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</si>
  <si>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</si>
  <si>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</si>
  <si>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</si>
  <si>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</si>
  <si>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</si>
  <si>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</si>
  <si>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</si>
  <si>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</si>
  <si>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</si>
  <si>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</si>
  <si>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</si>
  <si>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</si>
  <si>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</si>
  <si>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</si>
  <si>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</si>
  <si>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</si>
  <si>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</si>
  <si>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</si>
  <si>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</si>
  <si>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</si>
  <si>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</si>
  <si>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</si>
  <si>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</si>
  <si>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</si>
  <si>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</si>
  <si>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</si>
  <si>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</si>
  <si>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</si>
  <si>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</si>
  <si>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</si>
  <si>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</si>
  <si>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</si>
  <si>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</si>
  <si>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</si>
  <si>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</si>
  <si>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</si>
  <si>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</si>
  <si>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</si>
  <si>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</si>
  <si>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</si>
  <si>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</si>
  <si>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</si>
  <si>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</si>
  <si>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</si>
  <si>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</si>
  <si>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</si>
  <si>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</si>
  <si>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</si>
  <si>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</si>
  <si>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</si>
  <si>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</si>
  <si>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</si>
  <si>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</si>
  <si>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</si>
  <si>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</si>
  <si>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</si>
  <si>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</si>
  <si>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</si>
  <si>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</si>
  <si>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</si>
  <si>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</si>
  <si>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</si>
  <si>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</si>
  <si>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</si>
  <si>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</si>
  <si>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</si>
  <si>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</si>
  <si>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</si>
  <si>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</si>
  <si>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</si>
  <si>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</si>
  <si>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</si>
  <si>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</si>
  <si>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</si>
  <si>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</si>
  <si>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</si>
  <si>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</si>
  <si>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</si>
  <si>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</si>
  <si>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</si>
  <si>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</si>
  <si>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</si>
  <si>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</si>
  <si>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</si>
  <si>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</si>
  <si>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</si>
  <si>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</si>
  <si>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</si>
  <si>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</si>
  <si>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</si>
  <si>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</si>
  <si>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</si>
  <si>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</si>
  <si>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</si>
  <si>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</si>
  <si>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</si>
  <si>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</si>
  <si>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</si>
  <si>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</si>
  <si>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</si>
  <si>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</si>
  <si>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</si>
  <si>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</si>
  <si>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</si>
  <si>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</si>
  <si>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</si>
  <si>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</si>
  <si>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</si>
  <si>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</si>
  <si>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</si>
  <si>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</si>
  <si>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</si>
  <si>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</si>
  <si>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</si>
  <si>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</si>
  <si>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</si>
  <si>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</si>
  <si>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</si>
  <si>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</si>
  <si>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</si>
  <si>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</si>
  <si>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</si>
  <si>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</si>
  <si>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</si>
  <si>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</si>
  <si>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</si>
  <si>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</si>
  <si>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</si>
  <si>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</si>
  <si>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</si>
  <si>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</si>
  <si>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</si>
  <si>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</si>
  <si>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</si>
  <si>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</si>
  <si>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</si>
  <si>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</si>
  <si>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</si>
  <si>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</si>
  <si>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</si>
  <si>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</si>
  <si>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</si>
  <si>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</si>
  <si>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</si>
  <si>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</si>
  <si>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</si>
  <si>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</si>
  <si>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</si>
  <si>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</si>
  <si>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</si>
  <si>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</si>
  <si>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</si>
  <si>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</si>
  <si>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</si>
  <si>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</si>
  <si>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</si>
  <si>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</si>
  <si>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</si>
  <si>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</si>
  <si>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</si>
  <si>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</si>
  <si>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</si>
  <si>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</si>
  <si>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</si>
  <si>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</si>
  <si>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</si>
  <si>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</si>
  <si>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</si>
  <si>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</si>
  <si>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</si>
  <si>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</si>
  <si>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</si>
  <si>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</si>
  <si>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</si>
  <si>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</si>
  <si>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</si>
  <si>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</si>
  <si>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</si>
  <si>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</si>
  <si>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</si>
  <si>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</si>
  <si>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</si>
  <si>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</si>
  <si>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</si>
  <si>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</si>
  <si>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</si>
  <si>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</si>
  <si>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</si>
  <si>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</si>
  <si>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</si>
  <si>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</si>
  <si>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</si>
  <si>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</si>
  <si>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</si>
  <si>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</si>
  <si>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</si>
  <si>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</si>
  <si>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</si>
  <si>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</si>
  <si>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</si>
  <si>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</si>
  <si>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</si>
  <si>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</si>
  <si>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</si>
  <si>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</si>
  <si>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</si>
  <si>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</si>
  <si>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</si>
  <si>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</si>
  <si>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</si>
  <si>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</si>
  <si>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</si>
  <si>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</si>
  <si>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</si>
  <si>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</si>
  <si>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</si>
  <si>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</si>
  <si>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</si>
  <si>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</si>
  <si>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</si>
  <si>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</si>
  <si>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</si>
  <si>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</si>
  <si>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</si>
  <si>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</si>
  <si>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</si>
  <si>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</si>
  <si>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</si>
  <si>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</si>
  <si>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</si>
  <si>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</si>
  <si>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</si>
  <si>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</si>
  <si>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</si>
  <si>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</si>
  <si>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</si>
  <si>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</si>
  <si>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</si>
  <si>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</si>
  <si>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</si>
  <si>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</si>
  <si>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</si>
  <si>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</si>
  <si>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</si>
  <si>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</si>
  <si>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</si>
  <si>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</si>
  <si>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</si>
  <si>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</si>
  <si>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</si>
  <si>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</si>
  <si>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</si>
  <si>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</si>
  <si>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</si>
  <si>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</si>
  <si>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</si>
  <si>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</si>
  <si>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</si>
  <si>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</si>
  <si>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</si>
  <si>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</si>
  <si>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</si>
  <si>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</si>
  <si>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</si>
  <si>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</si>
  <si>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</si>
  <si>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</si>
  <si>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</si>
  <si>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</si>
  <si>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</si>
  <si>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</si>
  <si>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</si>
  <si>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</si>
  <si>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</si>
  <si>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</si>
  <si>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</si>
  <si>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</si>
  <si>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</si>
  <si>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</si>
  <si>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</si>
  <si>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</si>
  <si>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</si>
  <si>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</si>
  <si>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</si>
  <si>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</si>
  <si>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</si>
  <si>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</si>
  <si>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</si>
  <si>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</si>
  <si>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</si>
  <si>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</si>
  <si>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</si>
  <si>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</si>
  <si>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</si>
  <si>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</si>
  <si>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</si>
  <si>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</si>
  <si>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</si>
  <si>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</si>
  <si>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</si>
  <si>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</si>
  <si>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</si>
  <si>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</si>
  <si>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</si>
  <si>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</si>
  <si>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</si>
  <si>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</si>
  <si>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</si>
  <si>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</si>
  <si>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</si>
  <si>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</si>
  <si>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</si>
  <si>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</si>
  <si>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</si>
  <si>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</si>
  <si>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</si>
  <si>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</si>
  <si>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</si>
  <si>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</si>
  <si>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</si>
  <si>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</si>
  <si>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</si>
  <si>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</si>
  <si>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</si>
  <si>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</si>
  <si>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</si>
  <si>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</si>
  <si>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</si>
  <si>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</si>
  <si>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</si>
  <si>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</si>
  <si>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</si>
  <si>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</si>
  <si>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</si>
  <si>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</si>
  <si>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</si>
  <si>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</si>
  <si>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</si>
  <si>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</si>
  <si>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</si>
  <si>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</si>
  <si>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</si>
  <si>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</si>
  <si>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</si>
  <si>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</si>
  <si>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</si>
  <si>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</si>
  <si>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</si>
  <si>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</si>
  <si>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</si>
  <si>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</si>
  <si>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</si>
  <si>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</si>
  <si>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</si>
  <si>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</si>
  <si>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</si>
  <si>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</si>
  <si>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</si>
  <si>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</si>
  <si>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</si>
  <si>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</si>
  <si>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</si>
  <si>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</si>
  <si>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</si>
  <si>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</si>
  <si>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</si>
  <si>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</si>
  <si>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</si>
  <si>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</si>
  <si>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</si>
  <si>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</si>
  <si>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</si>
  <si>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</si>
  <si>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</si>
  <si>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</si>
  <si>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</si>
  <si>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</si>
  <si>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</si>
  <si>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</si>
  <si>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</si>
  <si>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</si>
  <si>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</si>
  <si>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</si>
  <si>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</si>
  <si>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</si>
  <si>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</si>
  <si>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</si>
  <si>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</si>
  <si>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</si>
  <si>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</si>
  <si>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</si>
  <si>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</si>
  <si>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</si>
  <si>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</si>
  <si>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</si>
  <si>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</si>
  <si>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</si>
  <si>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</si>
  <si>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</si>
  <si>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</si>
  <si>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</si>
  <si>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</si>
  <si>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</si>
  <si>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</si>
  <si>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</si>
  <si>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</si>
  <si>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</si>
  <si>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</si>
  <si>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</si>
  <si>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</si>
  <si>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</si>
  <si>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</si>
  <si>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</si>
  <si>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</si>
  <si>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</si>
  <si>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</si>
  <si>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</si>
  <si>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</si>
  <si>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</si>
  <si>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</si>
  <si>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</si>
  <si>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</si>
  <si>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</si>
  <si>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</si>
  <si>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</si>
  <si>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</si>
  <si>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</si>
  <si>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</si>
  <si>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</si>
  <si>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</si>
  <si>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</si>
  <si>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</si>
  <si>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</si>
  <si>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</si>
  <si>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</si>
  <si>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</si>
  <si>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</si>
  <si>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</si>
  <si>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</si>
  <si>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</si>
  <si>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</si>
  <si>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</si>
  <si>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</si>
  <si>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</si>
  <si>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</si>
  <si>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</si>
  <si>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</si>
  <si>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</si>
  <si>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</si>
  <si>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</si>
  <si>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</si>
  <si>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</si>
  <si>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</si>
  <si>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</si>
  <si>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</si>
  <si>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</si>
  <si>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</si>
  <si>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</si>
  <si>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</si>
  <si>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</si>
  <si>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</si>
  <si>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</si>
  <si>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</si>
  <si>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</si>
  <si>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</si>
  <si>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</si>
  <si>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</si>
  <si>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</si>
  <si>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</si>
  <si>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</si>
  <si>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</si>
  <si>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</si>
  <si>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</si>
  <si>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</si>
  <si>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</si>
  <si>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</si>
  <si>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</si>
  <si>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</si>
  <si>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</si>
  <si>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</si>
  <si>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</si>
  <si>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</si>
  <si>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</si>
  <si>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</si>
  <si>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</si>
  <si>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</si>
  <si>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</si>
  <si>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</si>
  <si>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</si>
  <si>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</si>
  <si>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</si>
  <si>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</si>
  <si>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</si>
  <si>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</si>
  <si>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</si>
  <si>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</si>
  <si>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</si>
  <si>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</si>
  <si>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</si>
  <si>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</si>
  <si>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</si>
  <si>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</si>
  <si>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</si>
  <si>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</si>
  <si>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</si>
  <si>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</si>
  <si>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</si>
  <si>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</si>
  <si>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</si>
  <si>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</si>
  <si>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</si>
  <si>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</si>
  <si>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</si>
  <si>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</si>
  <si>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</si>
  <si>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</si>
  <si>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</si>
  <si>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</si>
  <si>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</si>
  <si>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</si>
  <si>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</si>
  <si>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</si>
  <si>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</si>
  <si>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</si>
  <si>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</si>
  <si>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</si>
  <si>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</si>
  <si>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</si>
  <si>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</si>
  <si>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</si>
  <si>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</si>
  <si>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</si>
  <si>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</si>
  <si>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</si>
  <si>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</si>
  <si>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</si>
  <si>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</si>
  <si>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</si>
  <si>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</si>
  <si>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</si>
  <si>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</si>
  <si>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</si>
  <si>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</si>
  <si>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</si>
  <si>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</si>
  <si>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</si>
  <si>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</si>
  <si>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</si>
  <si>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</si>
  <si>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</si>
  <si>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</si>
  <si>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</si>
  <si>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</si>
  <si>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</si>
  <si>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</si>
  <si>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</si>
  <si>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</si>
  <si>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</si>
  <si>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</si>
  <si>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</si>
  <si>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</si>
  <si>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</si>
  <si>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</si>
  <si>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</si>
  <si>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</si>
  <si>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</si>
  <si>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</si>
  <si>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</si>
  <si>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</si>
  <si>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</si>
  <si>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</si>
  <si>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</si>
  <si>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</si>
  <si>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</si>
  <si>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</si>
  <si>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</si>
  <si>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</si>
  <si>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</si>
  <si>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</si>
  <si>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</si>
  <si>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</si>
  <si>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</si>
  <si>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</si>
  <si>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</si>
  <si>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</si>
  <si>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</si>
  <si>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</si>
  <si>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</si>
  <si>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</si>
  <si>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</si>
  <si>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</si>
  <si>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</si>
  <si>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</si>
  <si>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</si>
  <si>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</si>
  <si>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</si>
  <si>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</si>
  <si>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</si>
  <si>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</si>
  <si>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</si>
  <si>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</si>
  <si>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</si>
  <si>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</si>
  <si>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</si>
  <si>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</si>
  <si>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</si>
  <si>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</si>
  <si>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</si>
  <si>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</si>
  <si>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</si>
  <si>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</si>
  <si>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</si>
  <si>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</si>
  <si>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</si>
  <si>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</si>
  <si>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</si>
  <si>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</si>
  <si>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</si>
  <si>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</si>
  <si>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</si>
  <si>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</si>
  <si>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</si>
  <si>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</si>
  <si>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</si>
  <si>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</si>
  <si>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</si>
  <si>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</si>
  <si>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</si>
  <si>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</si>
  <si>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</si>
  <si>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</si>
  <si>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</si>
  <si>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</si>
  <si>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</si>
  <si>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</si>
  <si>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</si>
  <si>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</si>
  <si>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</si>
  <si>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</si>
  <si>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</si>
  <si>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</si>
  <si>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</si>
  <si>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</si>
  <si>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</si>
  <si>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</si>
  <si>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</si>
  <si>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</si>
  <si>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</si>
  <si>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</si>
  <si>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</si>
  <si>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</si>
  <si>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</si>
  <si>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</si>
  <si>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</si>
  <si>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</si>
  <si>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</si>
  <si>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</si>
  <si>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</si>
  <si>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</si>
  <si>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</si>
  <si>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</si>
  <si>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</si>
  <si>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</si>
  <si>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</si>
  <si>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</si>
  <si>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</si>
  <si>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</si>
  <si>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</si>
  <si>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</si>
  <si>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</si>
  <si>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</si>
  <si>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</si>
  <si>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</si>
  <si>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</si>
  <si>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</si>
  <si>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</si>
  <si>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</si>
  <si>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</si>
  <si>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</si>
  <si>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</si>
  <si>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</si>
  <si>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</si>
  <si>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</si>
  <si>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</si>
  <si>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</si>
  <si>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</si>
  <si>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</si>
  <si>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</si>
  <si>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</si>
  <si>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</si>
  <si>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</si>
  <si>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</si>
  <si>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</si>
  <si>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</si>
  <si>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</si>
  <si>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</si>
  <si>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</si>
  <si>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</si>
  <si>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</si>
  <si>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</si>
  <si>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</si>
  <si>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</si>
  <si>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</si>
  <si>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</si>
  <si>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</si>
  <si>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</si>
  <si>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</si>
  <si>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</si>
  <si>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</si>
  <si>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</si>
  <si>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</si>
  <si>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</si>
  <si>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</si>
  <si>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</si>
  <si>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</si>
  <si>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</si>
  <si>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</si>
  <si>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</si>
  <si>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</si>
  <si>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</si>
  <si>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</si>
  <si>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</si>
  <si>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</si>
  <si>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</si>
  <si>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</si>
  <si>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</si>
  <si>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</si>
  <si>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</si>
  <si>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</si>
  <si>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</si>
  <si>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</si>
  <si>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</si>
  <si>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</si>
  <si>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</si>
  <si>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</si>
  <si>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</si>
  <si>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</si>
  <si>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</si>
  <si>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</si>
  <si>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</si>
  <si>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</si>
  <si>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</si>
  <si>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</si>
  <si>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</si>
  <si>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</si>
  <si>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</si>
  <si>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</si>
  <si>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</si>
  <si>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</si>
  <si>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</si>
  <si>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</si>
  <si>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</si>
  <si>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</si>
  <si>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</si>
  <si>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</si>
  <si>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</si>
  <si>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</si>
  <si>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</si>
  <si>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</si>
  <si>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</si>
  <si>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</si>
  <si>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</si>
  <si>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</si>
  <si>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</si>
  <si>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</si>
  <si>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</si>
  <si>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</si>
  <si>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</si>
  <si>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</si>
  <si>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</si>
  <si>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</si>
  <si>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</si>
  <si>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</si>
  <si>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</si>
  <si>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</si>
  <si>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</si>
  <si>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</si>
  <si>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</si>
  <si>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</si>
  <si>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</si>
  <si>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</si>
  <si>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</si>
  <si>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</si>
  <si>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</si>
  <si>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</si>
  <si>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</si>
  <si>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</si>
  <si>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</si>
  <si>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</si>
  <si>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</si>
  <si>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</si>
  <si>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</si>
  <si>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</si>
  <si>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</si>
  <si>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</si>
  <si>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</si>
  <si>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</si>
  <si>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</si>
  <si>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</si>
  <si>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</si>
  <si>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</si>
  <si>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</si>
  <si>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</si>
  <si>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</si>
  <si>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</si>
  <si>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</si>
  <si>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</si>
  <si>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</si>
  <si>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</si>
  <si>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</si>
  <si>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</si>
  <si>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</si>
  <si>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</si>
  <si>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</si>
  <si>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</si>
  <si>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</si>
  <si>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</si>
  <si>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</si>
  <si>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</si>
  <si>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</si>
  <si>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</si>
  <si>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</si>
  <si>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</si>
  <si>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</si>
  <si>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</si>
  <si>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</si>
  <si>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</si>
  <si>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</si>
  <si>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</si>
  <si>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</si>
  <si>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</si>
  <si>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</si>
  <si>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</si>
  <si>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</si>
  <si>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</si>
  <si>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</si>
  <si>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</si>
  <si>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</si>
  <si>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</si>
  <si>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</si>
  <si>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</si>
  <si>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</si>
  <si>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</si>
  <si>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</si>
  <si>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</si>
  <si>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</si>
  <si>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</si>
  <si>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</si>
  <si>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</si>
  <si>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</si>
  <si>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</si>
  <si>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</si>
  <si>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</si>
  <si>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</si>
  <si>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</si>
  <si>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</si>
  <si>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</si>
  <si>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</si>
  <si>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</si>
  <si>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</si>
  <si>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</si>
  <si>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</si>
  <si>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</si>
  <si>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</si>
  <si>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</si>
  <si>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</si>
  <si>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</si>
  <si>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</si>
  <si>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</si>
  <si>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</si>
  <si>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</si>
  <si>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</si>
  <si>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</si>
  <si>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</si>
  <si>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</si>
  <si>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</si>
  <si>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</si>
  <si>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</si>
  <si>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</si>
  <si>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</si>
  <si>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</si>
  <si>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</si>
  <si>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</si>
  <si>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</si>
  <si>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</si>
  <si>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</si>
  <si>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</si>
  <si>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</si>
  <si>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</si>
  <si>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</si>
  <si>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</si>
  <si>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</si>
  <si>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</si>
  <si>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</si>
  <si>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</si>
  <si>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</si>
  <si>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</si>
  <si>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</si>
  <si>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</si>
  <si>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</si>
  <si>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</si>
  <si>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</si>
  <si>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</si>
  <si>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</si>
  <si>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</si>
  <si>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</si>
  <si>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</si>
  <si>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</si>
  <si>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</si>
  <si>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</si>
  <si>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</si>
  <si>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</si>
  <si>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</si>
  <si>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</si>
  <si>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</si>
  <si>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</si>
  <si>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</si>
  <si>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</si>
  <si>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</si>
  <si>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</si>
  <si>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</si>
  <si>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</si>
  <si>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</si>
  <si>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</si>
  <si>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</si>
  <si>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</si>
  <si>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</si>
  <si>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</si>
  <si>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</si>
  <si>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</si>
  <si>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</si>
  <si>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</si>
  <si>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</si>
  <si>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</si>
  <si>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</si>
  <si>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</si>
  <si>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</si>
  <si>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</si>
  <si>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</si>
  <si>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</si>
  <si>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</si>
  <si>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</si>
  <si>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</si>
  <si>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</si>
  <si>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</si>
  <si>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</si>
  <si>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</si>
  <si>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</si>
  <si>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</si>
  <si>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</si>
  <si>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</si>
  <si>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</si>
  <si>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</si>
  <si>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</si>
  <si>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</si>
  <si>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</si>
  <si>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</si>
  <si>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</si>
  <si>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</si>
  <si>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</si>
  <si>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</si>
  <si>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</si>
  <si>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</si>
  <si>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</si>
  <si>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</si>
  <si>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</si>
  <si>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</si>
  <si>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</si>
  <si>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</si>
  <si>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</si>
  <si>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</si>
  <si>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</si>
  <si>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</si>
  <si>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</si>
  <si>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</si>
  <si>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</si>
  <si>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</si>
  <si>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</si>
  <si>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</si>
  <si>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</si>
  <si>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</si>
  <si>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</si>
  <si>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</si>
  <si>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</si>
  <si>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</si>
  <si>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</si>
  <si>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</si>
  <si>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</si>
  <si>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</si>
  <si>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</si>
  <si>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</si>
  <si>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</si>
  <si>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</si>
  <si>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</si>
  <si>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</si>
  <si>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</si>
  <si>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</si>
  <si>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</si>
  <si>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</si>
  <si>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</si>
  <si>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</si>
  <si>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</si>
  <si>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</si>
  <si>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</si>
  <si>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</si>
  <si>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</si>
  <si>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</si>
  <si>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</si>
  <si>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</si>
  <si>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</si>
  <si>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</si>
  <si>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</si>
  <si>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</si>
  <si>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</si>
  <si>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</si>
  <si>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</si>
  <si>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</si>
  <si>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</si>
  <si>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</si>
  <si>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</si>
  <si>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</si>
  <si>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</si>
  <si>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</si>
  <si>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</si>
  <si>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</si>
  <si>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</si>
  <si>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</si>
  <si>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</si>
  <si>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</si>
  <si>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</si>
  <si>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</si>
  <si>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</si>
  <si>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</si>
  <si>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</si>
  <si>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</si>
  <si>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</si>
  <si>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</si>
  <si>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</si>
  <si>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</si>
  <si>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</si>
  <si>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</si>
  <si>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</si>
  <si>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</si>
  <si>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</si>
  <si>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</si>
  <si>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</si>
  <si>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</si>
  <si>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</si>
  <si>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</si>
  <si>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</si>
  <si>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</si>
  <si>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</si>
  <si>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</si>
  <si>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</si>
  <si>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</si>
  <si>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</si>
  <si>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</si>
  <si>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</si>
  <si>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</si>
  <si>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</si>
  <si>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</si>
  <si>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</si>
  <si>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</si>
  <si>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</si>
  <si>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</si>
  <si>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</si>
  <si>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</si>
  <si>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</si>
  <si>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</si>
  <si>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</si>
  <si>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</si>
  <si>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</si>
  <si>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</si>
  <si>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</si>
  <si>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</si>
  <si>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</si>
  <si>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</si>
  <si>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</si>
  <si>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</si>
  <si>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</si>
  <si>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</si>
  <si>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</si>
  <si>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</si>
  <si>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</si>
  <si>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</si>
  <si>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</si>
  <si>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</si>
  <si>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</si>
  <si>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</si>
  <si>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</si>
  <si>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</si>
  <si>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</si>
  <si>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</si>
  <si>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</si>
  <si>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</si>
  <si>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</si>
  <si>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</si>
  <si>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</si>
  <si>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</si>
  <si>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</si>
  <si>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</si>
  <si>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</si>
  <si>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</si>
  <si>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</si>
  <si>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</si>
  <si>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</si>
  <si>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</si>
  <si>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</si>
  <si>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</si>
  <si>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</si>
  <si>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</si>
  <si>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</si>
  <si>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</si>
  <si>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</si>
  <si>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</si>
  <si>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</si>
  <si>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</si>
  <si>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</si>
  <si>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</si>
  <si>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</si>
  <si>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</si>
  <si>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</si>
  <si>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</si>
  <si>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</si>
  <si>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</si>
  <si>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</si>
  <si>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</si>
  <si>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</si>
  <si>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</si>
  <si>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</si>
  <si>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</si>
  <si>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</si>
  <si>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</si>
  <si>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</si>
  <si>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</si>
  <si>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</si>
  <si>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</si>
  <si>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</si>
  <si>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</si>
  <si>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</si>
  <si>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</si>
  <si>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</si>
  <si>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</si>
  <si>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</si>
  <si>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</si>
  <si>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</si>
  <si>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</si>
  <si>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</si>
  <si>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</si>
  <si>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</si>
  <si>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</si>
  <si>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</si>
  <si>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</si>
  <si>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</si>
  <si>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</si>
  <si>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</si>
  <si>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</si>
  <si>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</si>
  <si>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</si>
  <si>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</si>
  <si>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</si>
  <si>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</si>
  <si>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</si>
  <si>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</si>
  <si>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</si>
  <si>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</si>
  <si>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</si>
  <si>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</si>
  <si>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</si>
  <si>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</si>
  <si>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</si>
  <si>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</si>
  <si>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</si>
  <si>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</si>
  <si>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</si>
  <si>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</si>
  <si>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</si>
  <si>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</si>
  <si>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</si>
  <si>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</si>
  <si>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</si>
  <si>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</si>
  <si>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</si>
  <si>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</si>
  <si>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</si>
  <si>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</si>
  <si>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</si>
  <si>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</si>
  <si>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</si>
  <si>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</si>
  <si>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</si>
  <si>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</si>
  <si>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</si>
  <si>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</si>
  <si>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</si>
  <si>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</si>
  <si>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</si>
  <si>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</si>
  <si>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</si>
  <si>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</si>
  <si>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</si>
  <si>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</si>
  <si>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</si>
  <si>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</si>
  <si>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</si>
  <si>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</si>
  <si>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</si>
  <si>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</si>
  <si>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</si>
  <si>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</si>
  <si>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</si>
  <si>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</si>
  <si>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</si>
  <si>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</si>
  <si>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</si>
  <si>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</si>
  <si>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</si>
  <si>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</si>
  <si>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</si>
  <si>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</si>
  <si>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</si>
  <si>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</si>
  <si>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</si>
  <si>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</si>
  <si>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</si>
  <si>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</si>
  <si>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</si>
  <si>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</si>
  <si>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</si>
  <si>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</si>
  <si>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</si>
  <si>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</si>
  <si>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</si>
  <si>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</si>
  <si>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</si>
  <si>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</si>
  <si>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</si>
  <si>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</si>
  <si>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</si>
  <si>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</si>
  <si>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</si>
  <si>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</si>
  <si>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</si>
  <si>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</si>
  <si>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</si>
  <si>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</si>
  <si>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</si>
  <si>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</si>
  <si>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</si>
  <si>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</si>
  <si>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</si>
  <si>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</si>
  <si>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</si>
  <si>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</si>
  <si>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</si>
  <si>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</si>
  <si>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</si>
  <si>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</si>
  <si>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</si>
  <si>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</si>
  <si>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</si>
  <si>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</si>
  <si>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</si>
  <si>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</si>
  <si>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</si>
  <si>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</si>
  <si>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</si>
  <si>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</si>
  <si>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</si>
  <si>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</si>
  <si>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</si>
  <si>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</si>
  <si>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</si>
  <si>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</si>
  <si>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</si>
  <si>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</si>
  <si>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</si>
  <si>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</si>
  <si>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</si>
  <si>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</si>
  <si>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</si>
  <si>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</si>
  <si>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</si>
  <si>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</si>
  <si>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</si>
  <si>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</si>
  <si>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</si>
  <si>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</si>
  <si>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</si>
  <si>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</si>
  <si>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</si>
  <si>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</si>
  <si>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</si>
  <si>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</si>
  <si>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</si>
  <si>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</si>
  <si>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</si>
  <si>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</si>
  <si>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</si>
  <si>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</si>
  <si>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</si>
  <si>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</si>
  <si>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</si>
  <si>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</si>
  <si>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</si>
  <si>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</si>
  <si>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</si>
  <si>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</si>
  <si>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</si>
  <si>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</si>
  <si>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</si>
  <si>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</si>
  <si>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</si>
  <si>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</si>
  <si>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</si>
  <si>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</si>
  <si>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</si>
  <si>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</si>
  <si>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</si>
  <si>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</si>
  <si>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</si>
  <si>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</si>
  <si>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</si>
  <si>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</si>
  <si>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</si>
  <si>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</si>
  <si>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</si>
  <si>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</si>
  <si>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</si>
  <si>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</si>
  <si>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</si>
  <si>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</si>
  <si>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</si>
  <si>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</si>
  <si>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</si>
  <si>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</si>
  <si>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</si>
  <si>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</si>
  <si>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</si>
  <si>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</si>
  <si>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</si>
  <si>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</si>
  <si>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</si>
  <si>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</si>
  <si>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</si>
  <si>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</si>
  <si>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</si>
  <si>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</si>
  <si>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</si>
  <si>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</si>
  <si>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</si>
  <si>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</si>
  <si>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</si>
  <si>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</si>
  <si>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</si>
  <si>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</si>
  <si>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</si>
  <si>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</si>
  <si>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</si>
  <si>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</si>
  <si>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</si>
  <si>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</si>
  <si>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</si>
  <si>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</si>
  <si>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</si>
  <si>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</si>
  <si>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</si>
  <si>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</si>
  <si>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</si>
  <si>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</si>
  <si>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</si>
  <si>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</si>
  <si>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</si>
  <si>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</si>
  <si>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</si>
  <si>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</si>
  <si>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</si>
  <si>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</si>
  <si>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</si>
  <si>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</si>
  <si>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</si>
  <si>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</si>
  <si>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</si>
  <si>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</si>
  <si>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</si>
  <si>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</si>
  <si>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</si>
  <si>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</si>
  <si>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</si>
  <si>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</si>
  <si>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</si>
  <si>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</si>
  <si>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</si>
  <si>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</si>
  <si>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</si>
  <si>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</si>
  <si>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</si>
  <si>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</si>
  <si>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</si>
  <si>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</si>
  <si>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</si>
  <si>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</si>
  <si>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</si>
  <si>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</si>
  <si>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</si>
  <si>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</si>
  <si>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</si>
  <si>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</si>
  <si>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</si>
  <si>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</si>
  <si>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</si>
  <si>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</si>
  <si>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</si>
  <si>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</si>
  <si>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</si>
  <si>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</si>
  <si>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</si>
  <si>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</si>
  <si>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</si>
  <si>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</si>
  <si>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</si>
  <si>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</si>
  <si>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</si>
  <si>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</si>
  <si>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</si>
  <si>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</si>
  <si>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</si>
  <si>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</si>
  <si>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</si>
  <si>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</si>
  <si>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</si>
  <si>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</si>
  <si>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</si>
  <si>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</si>
  <si>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</si>
  <si>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</si>
  <si>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</si>
  <si>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</si>
  <si>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</si>
  <si>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</si>
  <si>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</si>
  <si>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</si>
  <si>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</si>
  <si>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</si>
  <si>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</si>
  <si>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</si>
  <si>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</si>
  <si>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</si>
  <si>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</si>
  <si>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</si>
  <si>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</si>
  <si>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</si>
  <si>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</si>
  <si>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</si>
  <si>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</si>
  <si>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</si>
  <si>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</si>
  <si>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</si>
  <si>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</si>
  <si>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</si>
  <si>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</si>
  <si>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</si>
  <si>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</si>
  <si>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</si>
  <si>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</si>
  <si>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</si>
  <si>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</si>
  <si>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</si>
  <si>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</si>
  <si>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</si>
  <si>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</si>
  <si>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</si>
  <si>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</si>
  <si>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</si>
  <si>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</si>
  <si>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</si>
  <si>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</si>
  <si>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</si>
  <si>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</si>
  <si>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</si>
  <si>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</si>
  <si>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</si>
  <si>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</si>
  <si>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</si>
  <si>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</si>
  <si>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</si>
  <si>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</si>
  <si>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</si>
  <si>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</si>
  <si>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</si>
  <si>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</si>
  <si>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</si>
  <si>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</si>
  <si>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</si>
  <si>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</si>
  <si>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</si>
  <si>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</si>
  <si>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</si>
  <si>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</si>
  <si>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</si>
  <si>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</si>
  <si>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</si>
  <si>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</si>
  <si>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</si>
  <si>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</si>
  <si>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</si>
  <si>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</si>
  <si>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</si>
  <si>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</si>
  <si>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</si>
  <si>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</si>
  <si>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</si>
  <si>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</si>
  <si>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</si>
  <si>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</si>
  <si>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</si>
  <si>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</si>
  <si>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</si>
  <si>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</si>
  <si>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</si>
  <si>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</si>
  <si>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</si>
  <si>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</si>
  <si>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</si>
  <si>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</si>
  <si>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</si>
  <si>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</si>
  <si>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</si>
  <si>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</si>
  <si>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</si>
  <si>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</si>
  <si>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</si>
  <si>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</si>
  <si>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</si>
  <si>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</si>
  <si>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</si>
  <si>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</si>
  <si>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</si>
  <si>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</si>
  <si>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</si>
  <si>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</si>
  <si>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</si>
  <si>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</si>
  <si>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</si>
  <si>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</si>
  <si>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</si>
  <si>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</si>
  <si>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</si>
  <si>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</si>
  <si>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</si>
  <si>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</si>
  <si>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</si>
  <si>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</si>
  <si>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</si>
  <si>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</si>
  <si>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</si>
  <si>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</si>
  <si>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</si>
  <si>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</si>
  <si>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</si>
  <si>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</si>
  <si>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</si>
  <si>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</si>
  <si>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</si>
  <si>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</si>
  <si>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</si>
  <si>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</si>
  <si>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</si>
  <si>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</si>
  <si>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</si>
  <si>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</si>
  <si>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</si>
  <si>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</si>
  <si>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</si>
  <si>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</si>
  <si>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</si>
  <si>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</si>
  <si>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</si>
  <si>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</si>
  <si>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</si>
  <si>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</si>
  <si>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</si>
  <si>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</si>
  <si>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</si>
  <si>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</si>
  <si>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</si>
  <si>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</si>
  <si>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</si>
  <si>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</si>
  <si>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</si>
  <si>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</si>
  <si>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</si>
  <si>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</si>
  <si>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</si>
  <si>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</si>
  <si>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</si>
  <si>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</si>
  <si>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</si>
  <si>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</si>
  <si>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</si>
  <si>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</si>
  <si>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</si>
  <si>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</si>
  <si>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</si>
  <si>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</si>
  <si>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</si>
  <si>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</si>
  <si>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</si>
  <si>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</si>
  <si>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</si>
  <si>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</si>
  <si>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</si>
  <si>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</si>
  <si>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</si>
  <si>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</si>
  <si>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</si>
  <si>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</si>
  <si>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</si>
  <si>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</si>
  <si>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</si>
  <si>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</si>
  <si>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</si>
  <si>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</si>
  <si>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</si>
  <si>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</si>
  <si>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</si>
  <si>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</si>
  <si>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</si>
  <si>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</si>
  <si>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</si>
  <si>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</si>
  <si>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</si>
  <si>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</si>
  <si>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</si>
  <si>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</si>
  <si>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</si>
  <si>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</si>
  <si>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</si>
  <si>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</si>
  <si>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</si>
  <si>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</si>
  <si>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</si>
  <si>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</si>
  <si>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</si>
  <si>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</si>
  <si>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</si>
  <si>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</si>
  <si>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</si>
  <si>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</si>
  <si>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</si>
  <si>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</si>
  <si>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</si>
  <si>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</si>
  <si>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</si>
  <si>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</si>
  <si>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</si>
  <si>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</si>
  <si>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</si>
  <si>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</si>
  <si>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</si>
  <si>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</si>
  <si>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</si>
  <si>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</si>
  <si>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</si>
  <si>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</si>
  <si>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</si>
  <si>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</si>
  <si>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</si>
  <si>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</si>
  <si>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</si>
  <si>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</si>
  <si>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</si>
  <si>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</si>
  <si>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</si>
  <si>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</si>
  <si>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</si>
  <si>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</si>
  <si>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</si>
  <si>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</si>
  <si>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</si>
  <si>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</si>
  <si>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</si>
  <si>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</si>
  <si>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</si>
  <si>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</si>
  <si>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</si>
  <si>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</si>
  <si>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</si>
  <si>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</si>
  <si>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</si>
  <si>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</si>
  <si>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</si>
  <si>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</si>
  <si>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</si>
  <si>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</si>
  <si>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</si>
  <si>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</si>
  <si>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</si>
  <si>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</si>
  <si>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</si>
  <si>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</si>
  <si>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</si>
  <si>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</si>
  <si>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</si>
  <si>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</si>
  <si>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</si>
  <si>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</si>
  <si>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</si>
  <si>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</si>
  <si>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</si>
  <si>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</si>
  <si>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</si>
  <si>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</si>
  <si>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</si>
  <si>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</si>
  <si>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</si>
  <si>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</si>
  <si>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</si>
  <si>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</si>
  <si>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</si>
  <si>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</si>
  <si>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</si>
  <si>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</si>
  <si>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</si>
  <si>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</si>
  <si>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</si>
  <si>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</si>
  <si>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</si>
  <si>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</si>
  <si>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</si>
  <si>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</si>
  <si>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</si>
  <si>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</si>
  <si>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</si>
  <si>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</si>
  <si>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</si>
  <si>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</si>
  <si>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</si>
  <si>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</si>
  <si>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</si>
  <si>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</si>
  <si>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</si>
  <si>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</si>
  <si>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</si>
  <si>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</si>
  <si>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</si>
  <si>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</si>
  <si>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</si>
  <si>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</si>
  <si>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</si>
  <si>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</si>
  <si>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</si>
  <si>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</si>
  <si>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</si>
  <si>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</si>
  <si>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</si>
  <si>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</si>
  <si>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</si>
  <si>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</si>
  <si>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</si>
  <si>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</si>
  <si>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</si>
  <si>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</si>
  <si>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</si>
  <si>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</si>
  <si>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</si>
  <si>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</si>
  <si>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</si>
  <si>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</si>
  <si>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</si>
  <si>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</si>
  <si>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</si>
  <si>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</si>
  <si>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</si>
  <si>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</si>
  <si>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</si>
  <si>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</si>
  <si>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</si>
  <si>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</si>
  <si>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</si>
  <si>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</si>
  <si>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</si>
  <si>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</si>
  <si>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</si>
  <si>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</si>
  <si>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</si>
  <si>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</si>
  <si>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</si>
  <si>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</si>
  <si>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</si>
  <si>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</si>
  <si>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</si>
  <si>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</si>
  <si>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</si>
  <si>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</si>
  <si>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</si>
  <si>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</si>
  <si>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</si>
  <si>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</si>
  <si>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</si>
  <si>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</si>
  <si>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</si>
  <si>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</si>
  <si>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</si>
  <si>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</si>
  <si>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</si>
  <si>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</si>
  <si>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</si>
  <si>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</si>
  <si>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</si>
  <si>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</si>
  <si>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</si>
  <si>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</si>
  <si>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</si>
  <si>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</si>
  <si>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</si>
  <si>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</si>
  <si>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</si>
  <si>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</si>
  <si>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</si>
  <si>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</si>
  <si>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</si>
  <si>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</si>
  <si>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</si>
  <si>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</si>
  <si>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</si>
  <si>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</si>
  <si>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</si>
  <si>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</si>
  <si>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</si>
  <si>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</si>
  <si>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</si>
  <si>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</si>
  <si>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</si>
  <si>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</si>
  <si>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</si>
  <si>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</si>
  <si>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</si>
  <si>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</si>
  <si>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</si>
  <si>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</si>
  <si>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</si>
  <si>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</si>
  <si>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</si>
  <si>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</si>
  <si>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</si>
  <si>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</si>
  <si>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</si>
  <si>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</si>
  <si>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</si>
  <si>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</si>
  <si>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</si>
  <si>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</si>
  <si>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</si>
  <si>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</si>
  <si>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</si>
  <si>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</si>
  <si>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</si>
  <si>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</si>
  <si>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</si>
  <si>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</si>
  <si>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</si>
  <si>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</si>
  <si>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</si>
  <si>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</si>
  <si>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</si>
  <si>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</si>
  <si>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</si>
  <si>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</si>
  <si>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</si>
  <si>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</si>
  <si>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</si>
  <si>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</si>
  <si>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</si>
  <si>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</si>
  <si>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</si>
  <si>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</si>
  <si>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</si>
  <si>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</si>
  <si>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</si>
  <si>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</si>
  <si>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</si>
  <si>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</si>
  <si>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</si>
  <si>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</si>
  <si>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</si>
  <si>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</si>
  <si>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</si>
  <si>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</si>
  <si>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</si>
  <si>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</si>
  <si>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</si>
  <si>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</si>
  <si>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</si>
  <si>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</si>
  <si>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</si>
  <si>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</si>
  <si>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</si>
  <si>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</si>
  <si>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</si>
  <si>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</si>
  <si>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</si>
  <si>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</si>
  <si>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</si>
  <si>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</si>
  <si>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</si>
  <si>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</si>
  <si>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</si>
  <si>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</si>
  <si>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</si>
  <si>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</si>
  <si>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</si>
  <si>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</si>
  <si>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</si>
  <si>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</si>
  <si>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</si>
  <si>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</si>
  <si>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</si>
  <si>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</si>
  <si>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</si>
  <si>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</si>
  <si>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</si>
  <si>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</si>
  <si>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</si>
  <si>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</si>
  <si>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</si>
  <si>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</si>
  <si>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</si>
  <si>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</si>
  <si>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</si>
  <si>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</si>
  <si>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</si>
  <si>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</si>
  <si>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</si>
  <si>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</si>
  <si>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</si>
  <si>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</si>
  <si>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</si>
  <si>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</si>
  <si>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</si>
  <si>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</si>
  <si>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</si>
  <si>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</si>
  <si>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</si>
  <si>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</si>
  <si>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</si>
  <si>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</si>
  <si>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</si>
  <si>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</si>
  <si>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</si>
  <si>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</si>
  <si>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</si>
  <si>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</si>
  <si>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</si>
  <si>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</si>
  <si>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DUNS</t>
  </si>
  <si>
    <t>13680 S. Mosiertwon Road, Meadville, PA 16335</t>
  </si>
  <si>
    <t>Joshua Fontana</t>
  </si>
  <si>
    <t>engineering@abbatron.com</t>
  </si>
  <si>
    <t>814-724-6440</t>
  </si>
  <si>
    <t xml:space="preserve">James A. Sitter </t>
  </si>
  <si>
    <t>President</t>
  </si>
  <si>
    <t xml:space="preserve">sales@abbatron.com </t>
  </si>
  <si>
    <t>100%</t>
  </si>
  <si>
    <t>Samantha McCourt</t>
  </si>
  <si>
    <t>Samantha.McCourt@metalor.com</t>
  </si>
  <si>
    <t>Mining, recycled and scrap sources</t>
  </si>
  <si>
    <t>Metalor Technologies is a LBMA Good delivery refiner</t>
  </si>
  <si>
    <t>https://www.abbatron.com/</t>
  </si>
  <si>
    <t>halsit holdings, llc dba abbatron</t>
  </si>
  <si>
    <t>cid001157</t>
  </si>
  <si>
    <t>CID00157</t>
  </si>
  <si>
    <t>Thailand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</si>
</sst>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33">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FD3062FA-B22D-47BA-BDF8-4BED094D991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bbatr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75">
      <c r="A4" s="295"/>
      <c r="B4" s="30" t="s">
        <v>839</v>
      </c>
      <c r="C4" s="6"/>
      <c r="D4" s="177"/>
      <c r="E4" s="3"/>
      <c r="F4" s="6"/>
      <c r="G4" s="25"/>
    </row>
    <row r="5" spans="1:7">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33.75">
      <c r="A13" s="295"/>
      <c r="B13" s="2">
        <v>1</v>
      </c>
      <c r="C13" s="27" t="s">
        <v>1078</v>
      </c>
      <c r="D13" s="28" t="s">
        <v>866</v>
      </c>
      <c r="E13" s="163" t="s">
        <v>843</v>
      </c>
      <c r="F13" s="163"/>
      <c r="G13" s="25"/>
    </row>
    <row r="14" spans="1:7" ht="33.75">
      <c r="A14" s="295"/>
      <c r="B14" s="2">
        <v>2</v>
      </c>
      <c r="C14" s="27" t="s">
        <v>1078</v>
      </c>
      <c r="D14" s="28" t="s">
        <v>1015</v>
      </c>
      <c r="E14" s="163" t="s">
        <v>526</v>
      </c>
      <c r="F14" s="163" t="s">
        <v>527</v>
      </c>
      <c r="G14" s="25"/>
    </row>
    <row r="15" spans="1:7" ht="89.1" customHeight="1">
      <c r="A15" s="295"/>
      <c r="B15" s="301">
        <v>2.0099999999999998</v>
      </c>
      <c r="C15" s="292" t="s">
        <v>1078</v>
      </c>
      <c r="D15" s="304" t="s">
        <v>2229</v>
      </c>
      <c r="E15" s="164" t="s">
        <v>610</v>
      </c>
      <c r="F15" s="164" t="s">
        <v>613</v>
      </c>
      <c r="G15" s="25"/>
    </row>
    <row r="16" spans="1:7" ht="99" customHeight="1">
      <c r="A16" s="295"/>
      <c r="B16" s="302"/>
      <c r="C16" s="293"/>
      <c r="D16" s="305"/>
      <c r="E16" s="165"/>
      <c r="F16" s="165" t="s">
        <v>611</v>
      </c>
      <c r="G16" s="25"/>
    </row>
    <row r="17" spans="1:7" ht="63" customHeight="1">
      <c r="A17" s="295"/>
      <c r="B17" s="303"/>
      <c r="C17" s="294"/>
      <c r="D17" s="306"/>
      <c r="E17" s="27"/>
      <c r="F17" s="27" t="s">
        <v>612</v>
      </c>
      <c r="G17" s="25"/>
    </row>
    <row r="18" spans="1:7" ht="117" customHeight="1">
      <c r="A18" s="295"/>
      <c r="B18" s="301">
        <v>2.02</v>
      </c>
      <c r="C18" s="292" t="s">
        <v>1078</v>
      </c>
      <c r="D18" s="304" t="s">
        <v>2230</v>
      </c>
      <c r="E18" s="164" t="s">
        <v>435</v>
      </c>
      <c r="F18" s="164" t="s">
        <v>521</v>
      </c>
      <c r="G18" s="25"/>
    </row>
    <row r="19" spans="1:7" ht="71.099999999999994" customHeight="1">
      <c r="A19" s="295"/>
      <c r="B19" s="302"/>
      <c r="C19" s="293"/>
      <c r="D19" s="305"/>
      <c r="E19" s="165" t="s">
        <v>525</v>
      </c>
      <c r="F19" s="165" t="s">
        <v>436</v>
      </c>
      <c r="G19" s="25"/>
    </row>
    <row r="20" spans="1:7" ht="90.75" customHeight="1">
      <c r="A20" s="295"/>
      <c r="B20" s="302"/>
      <c r="C20" s="293"/>
      <c r="D20" s="305"/>
      <c r="E20" s="165"/>
      <c r="F20" s="165" t="s">
        <v>615</v>
      </c>
      <c r="G20" s="25"/>
    </row>
    <row r="21" spans="1:7" ht="74.25" customHeight="1">
      <c r="A21" s="295"/>
      <c r="B21" s="303"/>
      <c r="C21" s="294"/>
      <c r="D21" s="306"/>
      <c r="E21" s="27"/>
      <c r="F21" s="27" t="s">
        <v>614</v>
      </c>
      <c r="G21" s="25"/>
    </row>
    <row r="22" spans="1:7" ht="90" customHeight="1">
      <c r="A22" s="295"/>
      <c r="B22" s="310">
        <v>2.0299999999999998</v>
      </c>
      <c r="C22" s="310" t="s">
        <v>812</v>
      </c>
      <c r="D22" s="313" t="s">
        <v>2231</v>
      </c>
      <c r="E22" s="292" t="s">
        <v>433</v>
      </c>
      <c r="F22" s="164" t="s">
        <v>456</v>
      </c>
      <c r="G22" s="25"/>
    </row>
    <row r="23" spans="1:7" ht="109.5" customHeight="1">
      <c r="A23" s="295"/>
      <c r="B23" s="311"/>
      <c r="C23" s="311"/>
      <c r="D23" s="314"/>
      <c r="E23" s="293"/>
      <c r="F23" s="165" t="s">
        <v>813</v>
      </c>
      <c r="G23" s="25"/>
    </row>
    <row r="24" spans="1:7" ht="74.25" customHeight="1">
      <c r="A24" s="295"/>
      <c r="B24" s="312"/>
      <c r="C24" s="312"/>
      <c r="D24" s="315"/>
      <c r="E24" s="294"/>
      <c r="F24" s="27" t="s">
        <v>432</v>
      </c>
      <c r="G24" s="25"/>
    </row>
    <row r="25" spans="1:7" ht="72" customHeight="1">
      <c r="A25" s="295"/>
      <c r="B25" s="2" t="s">
        <v>454</v>
      </c>
      <c r="C25" s="27" t="s">
        <v>455</v>
      </c>
      <c r="D25" s="28" t="s">
        <v>2232</v>
      </c>
      <c r="E25" s="27" t="s">
        <v>2227</v>
      </c>
      <c r="F25" s="27" t="s">
        <v>457</v>
      </c>
      <c r="G25" s="25"/>
    </row>
    <row r="26" spans="1:7" ht="98.1" customHeight="1">
      <c r="A26" s="295"/>
      <c r="B26" s="307">
        <v>3</v>
      </c>
      <c r="C26" s="301" t="s">
        <v>67</v>
      </c>
      <c r="D26" s="304" t="s">
        <v>2233</v>
      </c>
      <c r="E26" s="292" t="s">
        <v>0</v>
      </c>
      <c r="F26" s="164" t="s">
        <v>61</v>
      </c>
      <c r="G26" s="25"/>
    </row>
    <row r="27" spans="1:7" ht="90" customHeight="1">
      <c r="A27" s="295"/>
      <c r="B27" s="308"/>
      <c r="C27" s="302"/>
      <c r="D27" s="305"/>
      <c r="E27" s="293"/>
      <c r="F27" s="165" t="s">
        <v>56</v>
      </c>
      <c r="G27" s="25"/>
    </row>
    <row r="28" spans="1:7" ht="19.350000000000001" customHeight="1">
      <c r="A28" s="295"/>
      <c r="B28" s="308"/>
      <c r="C28" s="302"/>
      <c r="D28" s="305"/>
      <c r="E28" s="293"/>
      <c r="F28" s="165" t="s">
        <v>57</v>
      </c>
      <c r="G28" s="25"/>
    </row>
    <row r="29" spans="1:7" ht="74.45" customHeight="1">
      <c r="A29" s="295"/>
      <c r="B29" s="308"/>
      <c r="C29" s="302"/>
      <c r="D29" s="305"/>
      <c r="E29" s="293"/>
      <c r="F29" s="165" t="s">
        <v>58</v>
      </c>
      <c r="G29" s="25"/>
    </row>
    <row r="30" spans="1:7" ht="62.45" customHeight="1">
      <c r="A30" s="295"/>
      <c r="B30" s="308"/>
      <c r="C30" s="302"/>
      <c r="D30" s="305"/>
      <c r="E30" s="293"/>
      <c r="F30" s="165" t="s">
        <v>59</v>
      </c>
      <c r="G30" s="25"/>
    </row>
    <row r="31" spans="1:7" ht="81" customHeight="1">
      <c r="A31" s="295"/>
      <c r="B31" s="308"/>
      <c r="C31" s="302"/>
      <c r="D31" s="305"/>
      <c r="E31" s="293"/>
      <c r="F31" s="165" t="s">
        <v>60</v>
      </c>
      <c r="G31" s="25"/>
    </row>
    <row r="32" spans="1:7" ht="48.75" customHeight="1">
      <c r="A32" s="295"/>
      <c r="B32" s="308"/>
      <c r="C32" s="302"/>
      <c r="D32" s="305"/>
      <c r="E32" s="293"/>
      <c r="F32" s="165" t="s">
        <v>63</v>
      </c>
      <c r="G32" s="25"/>
    </row>
    <row r="33" spans="1:7" ht="98.45" customHeight="1">
      <c r="A33" s="295"/>
      <c r="B33" s="308"/>
      <c r="C33" s="302"/>
      <c r="D33" s="305"/>
      <c r="E33" s="293"/>
      <c r="F33" s="165" t="s">
        <v>62</v>
      </c>
      <c r="G33" s="25"/>
    </row>
    <row r="34" spans="1:7" ht="89.1" customHeight="1">
      <c r="A34" s="295"/>
      <c r="B34" s="308"/>
      <c r="C34" s="302"/>
      <c r="D34" s="305"/>
      <c r="E34" s="293"/>
      <c r="F34" s="165" t="s">
        <v>64</v>
      </c>
      <c r="G34" s="25"/>
    </row>
    <row r="35" spans="1:7" ht="29.1" customHeight="1">
      <c r="A35" s="295"/>
      <c r="B35" s="308"/>
      <c r="C35" s="302"/>
      <c r="D35" s="305"/>
      <c r="E35" s="293"/>
      <c r="F35" s="165" t="s">
        <v>65</v>
      </c>
      <c r="G35" s="25"/>
    </row>
    <row r="36" spans="1:7" ht="126.75">
      <c r="A36" s="295"/>
      <c r="B36" s="309"/>
      <c r="C36" s="303"/>
      <c r="D36" s="306"/>
      <c r="E36" s="294"/>
      <c r="F36" s="166" t="s">
        <v>66</v>
      </c>
      <c r="G36" s="25"/>
    </row>
    <row r="37" spans="1:7" ht="112.5">
      <c r="A37" s="295"/>
      <c r="B37" s="141">
        <v>3.01</v>
      </c>
      <c r="C37" s="142" t="s">
        <v>67</v>
      </c>
      <c r="D37" s="28" t="s">
        <v>2234</v>
      </c>
      <c r="E37" s="167" t="s">
        <v>1316</v>
      </c>
      <c r="F37" s="168" t="s">
        <v>1420</v>
      </c>
      <c r="G37" s="25"/>
    </row>
    <row r="38" spans="1:7" ht="101.25">
      <c r="A38" s="295"/>
      <c r="B38" s="141">
        <v>3.02</v>
      </c>
      <c r="C38" s="142" t="s">
        <v>1349</v>
      </c>
      <c r="D38" s="28" t="s">
        <v>2235</v>
      </c>
      <c r="E38" s="167" t="s">
        <v>1364</v>
      </c>
      <c r="F38" s="168" t="s">
        <v>1421</v>
      </c>
      <c r="G38" s="25"/>
    </row>
    <row r="39" spans="1:7" ht="101.25">
      <c r="A39" s="295"/>
      <c r="B39" s="150">
        <v>4</v>
      </c>
      <c r="C39" s="149" t="s">
        <v>1517</v>
      </c>
      <c r="D39" s="28" t="s">
        <v>2236</v>
      </c>
      <c r="E39" s="27" t="s">
        <v>2182</v>
      </c>
      <c r="F39" s="27" t="s">
        <v>1518</v>
      </c>
      <c r="G39" s="25"/>
    </row>
    <row r="40" spans="1:7" ht="56.25">
      <c r="A40" s="295"/>
      <c r="B40" s="141">
        <v>4.01</v>
      </c>
      <c r="C40" s="149" t="s">
        <v>1517</v>
      </c>
      <c r="D40" s="28" t="s">
        <v>2238</v>
      </c>
      <c r="E40" s="27" t="s">
        <v>2194</v>
      </c>
      <c r="F40" s="27" t="s">
        <v>2198</v>
      </c>
      <c r="G40" s="25"/>
    </row>
    <row r="41" spans="1:7" ht="56.25">
      <c r="A41" s="295"/>
      <c r="B41" s="141" t="s">
        <v>2225</v>
      </c>
      <c r="C41" s="149" t="s">
        <v>1517</v>
      </c>
      <c r="D41" s="28" t="s">
        <v>2237</v>
      </c>
      <c r="E41" s="27" t="s">
        <v>2228</v>
      </c>
      <c r="F41" s="27" t="s">
        <v>2226</v>
      </c>
      <c r="G41" s="25"/>
    </row>
    <row r="42" spans="1:7" ht="56.25">
      <c r="A42" s="295"/>
      <c r="B42" s="141" t="s">
        <v>2259</v>
      </c>
      <c r="C42" s="149" t="s">
        <v>1517</v>
      </c>
      <c r="D42" s="28" t="s">
        <v>2264</v>
      </c>
      <c r="E42" s="27" t="s">
        <v>2227</v>
      </c>
      <c r="F42" s="27" t="s">
        <v>2260</v>
      </c>
      <c r="G42" s="25"/>
    </row>
    <row r="43" spans="1:7" ht="123.75">
      <c r="A43" s="295"/>
      <c r="B43" s="160">
        <v>4.0999999999999996</v>
      </c>
      <c r="C43" s="149" t="s">
        <v>2263</v>
      </c>
      <c r="D43" s="161">
        <v>42867</v>
      </c>
      <c r="E43" s="169" t="s">
        <v>2266</v>
      </c>
      <c r="F43" s="27" t="s">
        <v>2265</v>
      </c>
      <c r="G43" s="25"/>
    </row>
    <row r="44" spans="1:7" ht="78.75">
      <c r="A44" s="295"/>
      <c r="B44" s="160">
        <v>4.2</v>
      </c>
      <c r="C44" s="149" t="s">
        <v>2263</v>
      </c>
      <c r="D44" s="161">
        <v>42704</v>
      </c>
      <c r="E44" s="169" t="s">
        <v>2462</v>
      </c>
      <c r="F44" s="27" t="s">
        <v>2437</v>
      </c>
      <c r="G44" s="25"/>
    </row>
    <row r="45" spans="1:7" ht="157.5">
      <c r="A45" s="295"/>
      <c r="B45" s="202">
        <v>5</v>
      </c>
      <c r="C45" s="149" t="s">
        <v>2263</v>
      </c>
      <c r="D45" s="161">
        <v>42867</v>
      </c>
      <c r="E45" s="169" t="s">
        <v>12683</v>
      </c>
      <c r="F45" s="27" t="s">
        <v>12405</v>
      </c>
      <c r="G45" s="25"/>
    </row>
    <row r="46" spans="1:7" ht="45">
      <c r="A46" s="295"/>
      <c r="B46" s="160">
        <v>5.01</v>
      </c>
      <c r="C46" s="149" t="s">
        <v>2263</v>
      </c>
      <c r="D46" s="161">
        <v>42907</v>
      </c>
      <c r="E46" s="169" t="s">
        <v>15484</v>
      </c>
      <c r="F46" s="27" t="s">
        <v>12405</v>
      </c>
      <c r="G46" s="25"/>
    </row>
    <row r="47" spans="1:7" ht="67.5">
      <c r="A47" s="295"/>
      <c r="B47" s="160">
        <v>5.0999999999999996</v>
      </c>
      <c r="C47" s="149" t="s">
        <v>2263</v>
      </c>
      <c r="D47" s="161">
        <v>43070</v>
      </c>
      <c r="E47" s="169" t="s">
        <v>12893</v>
      </c>
      <c r="F47" s="27" t="s">
        <v>12894</v>
      </c>
      <c r="G47" s="25"/>
    </row>
    <row r="48" spans="1:7" ht="56.25">
      <c r="A48" s="295"/>
      <c r="B48" s="160">
        <v>5.1100000000000003</v>
      </c>
      <c r="C48" s="149" t="s">
        <v>13129</v>
      </c>
      <c r="D48" s="161">
        <v>43217</v>
      </c>
      <c r="E48" s="169" t="s">
        <v>13255</v>
      </c>
      <c r="F48" s="27" t="s">
        <v>13163</v>
      </c>
      <c r="G48" s="25"/>
    </row>
    <row r="49" spans="1:7" ht="56.25">
      <c r="A49" s="295"/>
      <c r="B49" s="160">
        <v>5.12</v>
      </c>
      <c r="C49" s="149" t="s">
        <v>13129</v>
      </c>
      <c r="D49" s="161">
        <v>43581</v>
      </c>
      <c r="E49" s="169" t="s">
        <v>13255</v>
      </c>
      <c r="F49" s="27" t="s">
        <v>13807</v>
      </c>
      <c r="G49" s="25"/>
    </row>
    <row r="50" spans="1:7" ht="78.75">
      <c r="A50" s="295"/>
      <c r="B50" s="202">
        <v>6</v>
      </c>
      <c r="C50" s="149" t="s">
        <v>13129</v>
      </c>
      <c r="D50" s="161">
        <v>43964</v>
      </c>
      <c r="E50" s="169" t="s">
        <v>14020</v>
      </c>
      <c r="F50" s="27" t="s">
        <v>13810</v>
      </c>
      <c r="G50" s="25"/>
    </row>
    <row r="51" spans="1:7" ht="45">
      <c r="A51" s="295"/>
      <c r="B51" s="160">
        <v>6.01</v>
      </c>
      <c r="C51" s="149" t="s">
        <v>13129</v>
      </c>
      <c r="D51" s="161">
        <v>43970</v>
      </c>
      <c r="E51" s="169" t="s">
        <v>15485</v>
      </c>
      <c r="F51" s="169" t="s">
        <v>13810</v>
      </c>
      <c r="G51" s="25"/>
    </row>
    <row r="52" spans="1:7" ht="45">
      <c r="A52" s="295"/>
      <c r="B52" s="160">
        <v>6.1</v>
      </c>
      <c r="C52" s="149" t="s">
        <v>13129</v>
      </c>
      <c r="D52" s="161">
        <v>44314</v>
      </c>
      <c r="E52" s="169" t="s">
        <v>15477</v>
      </c>
      <c r="F52" s="169" t="s">
        <v>15015</v>
      </c>
      <c r="G52" s="25"/>
    </row>
    <row r="53" spans="1:7" ht="45">
      <c r="A53" s="295"/>
      <c r="B53" s="160">
        <v>6.2</v>
      </c>
      <c r="C53" s="149" t="s">
        <v>13129</v>
      </c>
      <c r="D53" s="161">
        <v>44678</v>
      </c>
      <c r="E53" s="169" t="s">
        <v>15477</v>
      </c>
      <c r="F53" s="169" t="s">
        <v>15476</v>
      </c>
      <c r="G53" s="25"/>
    </row>
    <row r="54" spans="1:7" ht="45">
      <c r="A54" s="295"/>
      <c r="B54" s="160">
        <v>6.21</v>
      </c>
      <c r="C54" s="149" t="s">
        <v>13129</v>
      </c>
      <c r="D54" s="161">
        <v>44687</v>
      </c>
      <c r="E54" s="169" t="s">
        <v>15486</v>
      </c>
      <c r="F54" s="169" t="s">
        <v>15476</v>
      </c>
      <c r="G54" s="25"/>
    </row>
    <row r="55" spans="1:7" ht="45">
      <c r="A55" s="295"/>
      <c r="B55" s="160">
        <v>6.22</v>
      </c>
      <c r="C55" s="149" t="s">
        <v>13129</v>
      </c>
      <c r="D55" s="274">
        <v>44692</v>
      </c>
      <c r="E55" s="169" t="s">
        <v>15485</v>
      </c>
      <c r="F55" s="169" t="s">
        <v>15476</v>
      </c>
      <c r="G55" s="25"/>
    </row>
    <row r="56" spans="1:7" ht="56.25">
      <c r="A56" s="295"/>
      <c r="B56" s="202">
        <v>6.3</v>
      </c>
      <c r="C56" s="149" t="s">
        <v>13129</v>
      </c>
      <c r="D56" s="274">
        <v>45051</v>
      </c>
      <c r="E56" s="169" t="s">
        <v>15753</v>
      </c>
      <c r="F56" s="169" t="s">
        <v>15534</v>
      </c>
      <c r="G56" s="25"/>
    </row>
    <row r="57" spans="1:7" ht="45">
      <c r="A57" s="295"/>
      <c r="B57" s="160">
        <v>6.31</v>
      </c>
      <c r="C57" s="149" t="s">
        <v>13129</v>
      </c>
      <c r="D57" s="274">
        <v>45072</v>
      </c>
      <c r="E57" s="169" t="s">
        <v>15755</v>
      </c>
      <c r="F57" s="169" t="s">
        <v>15534</v>
      </c>
      <c r="G57" s="25"/>
    </row>
    <row r="58" spans="1:7" ht="44.45" customHeight="1">
      <c r="A58" s="295"/>
      <c r="B58" s="202">
        <v>6.4</v>
      </c>
      <c r="C58" s="149" t="s">
        <v>13129</v>
      </c>
      <c r="D58" s="274">
        <v>45408</v>
      </c>
      <c r="E58" s="169" t="s">
        <v>15757</v>
      </c>
      <c r="F58" s="169" t="s">
        <v>15756</v>
      </c>
      <c r="G58" s="25"/>
    </row>
    <row r="59" spans="1:7" ht="13.5" thickBot="1">
      <c r="A59" s="296"/>
      <c r="B59" s="297" t="str">
        <f ca="1">OFFSET(L!$C$1,MATCH("General"&amp;"Cpy",L!$A:$A,0)-1,SL,,)</f>
        <v>© 2024 Responsible Minerals Initiative. All rights reserved.</v>
      </c>
      <c r="C59" s="297"/>
      <c r="D59" s="297"/>
      <c r="E59" s="297"/>
      <c r="F59" s="29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1FE840-60DC-4FCF-95B5-48064BFAA70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23FF12-EC97-47E1-84A7-B193CF75D6F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15869</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v>79509131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15855</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15862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15859</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45475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485</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485</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485</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15863</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15863</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484</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15868</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485</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82F95C0-BA77-44D4-AB92-5F7CB841ADD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F63" sqref="F6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407" t="s">
        <v>15870</v>
      </c>
      <c r="B5" s="399" t="s">
        <v>1119</v>
      </c>
      <c r="C5" s="403" t="s">
        <v>1217</v>
      </c>
      <c r="D5" s="406"/>
      <c r="E5" s="399" t="s">
        <v>2415</v>
      </c>
      <c r="F5" s="399" t="s">
        <v>702</v>
      </c>
      <c r="G5" s="399" t="s">
        <v>13217</v>
      </c>
      <c r="H5" s="400">
        <v>0</v>
      </c>
      <c r="I5" s="401" t="s">
        <v>1616</v>
      </c>
      <c r="J5" s="401" t="s">
        <v>1617</v>
      </c>
      <c r="K5" s="404"/>
      <c r="L5" s="404"/>
      <c r="M5" s="404"/>
      <c r="N5" s="404"/>
      <c r="O5" s="404"/>
      <c r="P5" s="402"/>
      <c r="Q5" s="40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IF(C5="",NA(),IF(OR(C5="Smelter not listed",C5="Smelter not yet identified"),MATCH($B5&amp;$D5,'Smelter Look-up'!$J:$J,0),MATCH($B5&amp;$C5,'Smelter Look-up'!$J:$J,0)))</f>
        <v>187</v>
      </c>
      <c r="X5" s="227">
        <f t="shared" ref="X5" si="0">IF(AND(C5="Smelter not listed",OR(LEN(D5)=0,LEN(E5)=0)),1,0)</f>
        <v>0</v>
      </c>
      <c r="AB5" s="228" t="str">
        <f t="shared" ref="AB5" si="1">B5&amp;C5</f>
        <v>GoldMetalor USA Refining Corporation</v>
      </c>
    </row>
    <row r="6" spans="1:34" s="227" customFormat="1" ht="20.100000000000001" customHeight="1">
      <c r="A6" s="407" t="s">
        <v>701</v>
      </c>
      <c r="B6" s="399" t="s">
        <v>1119</v>
      </c>
      <c r="C6" s="403" t="s">
        <v>2288</v>
      </c>
      <c r="D6" s="406"/>
      <c r="E6" s="399" t="s">
        <v>1088</v>
      </c>
      <c r="F6" s="399" t="s">
        <v>701</v>
      </c>
      <c r="G6" s="399" t="s">
        <v>13217</v>
      </c>
      <c r="H6" s="400">
        <v>0</v>
      </c>
      <c r="I6" s="401" t="s">
        <v>1614</v>
      </c>
      <c r="J6" s="401" t="s">
        <v>1615</v>
      </c>
      <c r="K6" s="404"/>
      <c r="L6" s="404"/>
      <c r="M6" s="404"/>
      <c r="N6" s="404"/>
      <c r="O6" s="404"/>
      <c r="P6" s="402"/>
      <c r="Q6" s="405"/>
      <c r="R6" s="182" t="str">
        <f ca="1">IF(ISERROR($V6),"",OFFSET('Smelter Look-up'!$C$4,$V6-4,0)&amp;"")</f>
        <v>Metalor Technologies S.A.</v>
      </c>
      <c r="S6" s="181" t="str">
        <f t="shared" ref="S6:S37" ca="1" si="2">IF(B6="","",IF(ISERROR(MATCH($E6,CL,0)),"Unknown",INDIRECT("'C'!$A$"&amp;MATCH($E6,CL,0)+1)))</f>
        <v>CH</v>
      </c>
      <c r="T6" s="181" t="str">
        <f ca="1">IF(B6="","",IF(ISERROR(MATCH($J6,SorP!$B$1:$B$6226,0)),"",INDIRECT("'SorP'!$A$"&amp;MATCH($S6&amp;$J6,SorP!C:C,0))))</f>
        <v>CH-NE</v>
      </c>
      <c r="U6" s="201"/>
      <c r="V6" s="226">
        <f>IF(C6="",NA(),IF(OR(C6="Smelter not listed",C6="Smelter not yet identified"),MATCH($B6&amp;$D6,'Smelter Look-up'!$J:$J,0),MATCH($B6&amp;$C6,'Smelter Look-up'!$J:$J,0)))</f>
        <v>186</v>
      </c>
      <c r="X6" s="227">
        <f t="shared" ref="X6:X37" si="3">IF(AND(C6="Smelter not listed",OR(LEN(D6)=0,LEN(E6)=0)),1,0)</f>
        <v>0</v>
      </c>
      <c r="AB6" s="228" t="str">
        <f t="shared" ref="AB6:AB37" si="4">B6&amp;C6</f>
        <v>GoldMetalor Technologies S.A.</v>
      </c>
    </row>
    <row r="7" spans="1:34" s="227" customFormat="1" ht="20.100000000000001" customHeight="1">
      <c r="A7" s="407" t="s">
        <v>699</v>
      </c>
      <c r="B7" s="399" t="s">
        <v>1119</v>
      </c>
      <c r="C7" s="403" t="s">
        <v>2134</v>
      </c>
      <c r="D7" s="406"/>
      <c r="E7" s="399" t="s">
        <v>1090</v>
      </c>
      <c r="F7" s="399" t="s">
        <v>699</v>
      </c>
      <c r="G7" s="399" t="s">
        <v>13217</v>
      </c>
      <c r="H7" s="400">
        <v>0</v>
      </c>
      <c r="I7" s="401" t="s">
        <v>1613</v>
      </c>
      <c r="J7" s="401" t="s">
        <v>15779</v>
      </c>
      <c r="K7" s="404"/>
      <c r="L7" s="404"/>
      <c r="M7" s="404"/>
      <c r="N7" s="404"/>
      <c r="O7" s="404"/>
      <c r="P7" s="402"/>
      <c r="Q7" s="405"/>
      <c r="R7" s="182" t="str">
        <f ca="1">IF(ISERROR($V7),"",OFFSET('Smelter Look-up'!$C$4,$V7-4,0)&amp;"")</f>
        <v>Metalor Technologies (Hong Kong) Ltd.</v>
      </c>
      <c r="S7" s="181" t="str">
        <f t="shared" ca="1" si="2"/>
        <v>CN</v>
      </c>
      <c r="T7" s="181" t="str">
        <f ca="1">IF(B7="","",IF(ISERROR(MATCH($J7,SorP!$B$1:$B$6226,0)),"",INDIRECT("'SorP'!$A$"&amp;MATCH($S7&amp;$J7,SorP!C:C,0))))</f>
        <v>CN-HK</v>
      </c>
      <c r="U7" s="201"/>
      <c r="V7" s="226">
        <f>IF(C7="",NA(),IF(OR(C7="Smelter not listed",C7="Smelter not yet identified"),MATCH($B7&amp;$D7,'Smelter Look-up'!$J:$J,0),MATCH($B7&amp;$C7,'Smelter Look-up'!$J:$J,0)))</f>
        <v>183</v>
      </c>
      <c r="X7" s="227">
        <f t="shared" si="3"/>
        <v>0</v>
      </c>
      <c r="AB7" s="228" t="str">
        <f t="shared" si="4"/>
        <v>GoldMetalor Technologies (Hong Kong) Ltd.</v>
      </c>
    </row>
    <row r="8" spans="1:34" s="227" customFormat="1" ht="20.100000000000001" customHeight="1">
      <c r="A8" s="407" t="s">
        <v>700</v>
      </c>
      <c r="B8" s="399" t="s">
        <v>1119</v>
      </c>
      <c r="C8" s="403" t="s">
        <v>2135</v>
      </c>
      <c r="D8" s="406"/>
      <c r="E8" s="399" t="s">
        <v>876</v>
      </c>
      <c r="F8" s="399" t="s">
        <v>700</v>
      </c>
      <c r="G8" s="399" t="s">
        <v>13217</v>
      </c>
      <c r="H8" s="400">
        <v>0</v>
      </c>
      <c r="I8" s="401" t="s">
        <v>12701</v>
      </c>
      <c r="J8" s="401" t="s">
        <v>10273</v>
      </c>
      <c r="K8" s="404"/>
      <c r="L8" s="404"/>
      <c r="M8" s="404"/>
      <c r="N8" s="404"/>
      <c r="O8" s="404"/>
      <c r="P8" s="402"/>
      <c r="Q8" s="405"/>
      <c r="R8" s="182" t="str">
        <f ca="1">IF(ISERROR($V8),"",OFFSET('Smelter Look-up'!$C$4,$V8-4,0)&amp;"")</f>
        <v>Metalor Technologies (Singapore) Pte., Ltd.</v>
      </c>
      <c r="S8" s="181" t="str">
        <f t="shared" ca="1" si="2"/>
        <v>SG</v>
      </c>
      <c r="T8" s="181" t="str">
        <f ca="1">IF(B8="","",IF(ISERROR(MATCH($J8,SorP!$B$1:$B$6226,0)),"",INDIRECT("'SorP'!$A$"&amp;MATCH($S8&amp;$J8,SorP!C:C,0))))</f>
        <v>SG-05</v>
      </c>
      <c r="U8" s="201"/>
      <c r="V8" s="226">
        <f>IF(C8="",NA(),IF(OR(C8="Smelter not listed",C8="Smelter not yet identified"),MATCH($B8&amp;$D8,'Smelter Look-up'!$J:$J,0),MATCH($B8&amp;$C8,'Smelter Look-up'!$J:$J,0)))</f>
        <v>184</v>
      </c>
      <c r="X8" s="227">
        <f t="shared" si="3"/>
        <v>0</v>
      </c>
      <c r="AB8" s="228" t="str">
        <f t="shared" si="4"/>
        <v>GoldMetalor Technologies (Singapore) Pte., Ltd.</v>
      </c>
    </row>
    <row r="9" spans="1:34" s="227" customFormat="1" ht="20.100000000000001" customHeight="1">
      <c r="A9" s="407" t="s">
        <v>1612</v>
      </c>
      <c r="B9" s="399" t="s">
        <v>1119</v>
      </c>
      <c r="C9" s="403" t="s">
        <v>1611</v>
      </c>
      <c r="D9" s="406"/>
      <c r="E9" s="399" t="s">
        <v>1090</v>
      </c>
      <c r="F9" s="399" t="s">
        <v>1612</v>
      </c>
      <c r="G9" s="399" t="s">
        <v>13217</v>
      </c>
      <c r="H9" s="400">
        <v>0</v>
      </c>
      <c r="I9" s="401" t="s">
        <v>2495</v>
      </c>
      <c r="J9" s="401" t="s">
        <v>13609</v>
      </c>
      <c r="K9" s="404"/>
      <c r="L9" s="404"/>
      <c r="M9" s="404"/>
      <c r="N9" s="404"/>
      <c r="O9" s="404"/>
      <c r="P9" s="402"/>
      <c r="Q9" s="405"/>
      <c r="R9" s="182" t="str">
        <f ca="1">IF(ISERROR($V9),"",OFFSET('Smelter Look-up'!$C$4,$V9-4,0)&amp;"")</f>
        <v>Metalor Technologies (Suzhou) Ltd.</v>
      </c>
      <c r="S9" s="181" t="str">
        <f t="shared" ca="1" si="2"/>
        <v>CN</v>
      </c>
      <c r="T9" s="181" t="str">
        <f ca="1">IF(B9="","",IF(ISERROR(MATCH($J9,SorP!$B$1:$B$6226,0)),"",INDIRECT("'SorP'!$A$"&amp;MATCH($S9&amp;$J9,SorP!C:C,0))))</f>
        <v>CN-JS</v>
      </c>
      <c r="U9" s="201"/>
      <c r="V9" s="226">
        <f>IF(C9="",NA(),IF(OR(C9="Smelter not listed",C9="Smelter not yet identified"),MATCH($B9&amp;$D9,'Smelter Look-up'!$J:$J,0),MATCH($B9&amp;$C9,'Smelter Look-up'!$J:$J,0)))</f>
        <v>185</v>
      </c>
      <c r="X9" s="227">
        <f t="shared" si="3"/>
        <v>0</v>
      </c>
      <c r="AB9" s="228" t="str">
        <f t="shared" si="4"/>
        <v>GoldMetalor Technologies (Suzhou) Ltd.</v>
      </c>
    </row>
    <row r="10" spans="1:34" s="227" customFormat="1" ht="20.100000000000001" customHeight="1">
      <c r="A10" s="407" t="s">
        <v>701</v>
      </c>
      <c r="B10" s="399" t="s">
        <v>1119</v>
      </c>
      <c r="C10" s="403" t="s">
        <v>2288</v>
      </c>
      <c r="D10" s="406"/>
      <c r="E10" s="399" t="s">
        <v>1088</v>
      </c>
      <c r="F10" s="399" t="s">
        <v>701</v>
      </c>
      <c r="G10" s="399" t="s">
        <v>13217</v>
      </c>
      <c r="H10" s="400">
        <v>0</v>
      </c>
      <c r="I10" s="401" t="s">
        <v>1614</v>
      </c>
      <c r="J10" s="401" t="s">
        <v>1615</v>
      </c>
      <c r="K10" s="404"/>
      <c r="L10" s="404"/>
      <c r="M10" s="404"/>
      <c r="N10" s="404"/>
      <c r="O10" s="404"/>
      <c r="P10" s="402"/>
      <c r="Q10" s="405"/>
      <c r="R10" s="182" t="str">
        <f ca="1">IF(ISERROR($V10),"",OFFSET('Smelter Look-up'!$C$4,$V10-4,0)&amp;"")</f>
        <v>Metalor Technologies S.A.</v>
      </c>
      <c r="S10" s="181" t="str">
        <f t="shared" ca="1" si="2"/>
        <v>CH</v>
      </c>
      <c r="T10" s="181" t="str">
        <f ca="1">IF(B10="","",IF(ISERROR(MATCH($J10,SorP!$B$1:$B$6226,0)),"",INDIRECT("'SorP'!$A$"&amp;MATCH($S10&amp;$J10,SorP!C:C,0))))</f>
        <v>CH-NE</v>
      </c>
      <c r="U10" s="201"/>
      <c r="V10" s="226">
        <f>IF(C10="",NA(),IF(OR(C10="Smelter not listed",C10="Smelter not yet identified"),MATCH($B10&amp;$D10,'Smelter Look-up'!$J:$J,0),MATCH($B10&amp;$C10,'Smelter Look-up'!$J:$J,0)))</f>
        <v>186</v>
      </c>
      <c r="X10" s="227">
        <f t="shared" si="3"/>
        <v>0</v>
      </c>
      <c r="AB10" s="228" t="str">
        <f t="shared" si="4"/>
        <v>GoldMetalor Technologies S.A.</v>
      </c>
    </row>
    <row r="11" spans="1:34" s="227" customFormat="1" ht="20.100000000000001" customHeight="1">
      <c r="A11" s="407" t="s">
        <v>2261</v>
      </c>
      <c r="B11" s="399" t="s">
        <v>1120</v>
      </c>
      <c r="C11" s="403" t="s">
        <v>2318</v>
      </c>
      <c r="D11" s="406"/>
      <c r="E11" s="399" t="s">
        <v>1090</v>
      </c>
      <c r="F11" s="399" t="s">
        <v>2261</v>
      </c>
      <c r="G11" s="399" t="s">
        <v>13217</v>
      </c>
      <c r="H11" s="400">
        <v>0</v>
      </c>
      <c r="I11" s="401" t="s">
        <v>1760</v>
      </c>
      <c r="J11" s="401" t="s">
        <v>13600</v>
      </c>
      <c r="K11" s="404"/>
      <c r="L11" s="404"/>
      <c r="M11" s="404"/>
      <c r="N11" s="404"/>
      <c r="O11" s="404"/>
      <c r="P11" s="402"/>
      <c r="Q11" s="40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IF(C11="",NA(),IF(OR(C11="Smelter not listed",C11="Smelter not yet identified"),MATCH($B11&amp;$D11,'Smelter Look-up'!$J:$J,0),MATCH($B11&amp;$C11,'Smelter Look-up'!$J:$J,0)))</f>
        <v>411</v>
      </c>
      <c r="X11" s="227">
        <f t="shared" si="3"/>
        <v>0</v>
      </c>
      <c r="AB11" s="228" t="str">
        <f t="shared" si="4"/>
        <v>TinChenzhou Yunxiang Mining and Metallurgy Co., Ltd.</v>
      </c>
    </row>
    <row r="12" spans="1:34" s="227" customFormat="1" ht="20.100000000000001" customHeight="1">
      <c r="A12" s="407" t="s">
        <v>758</v>
      </c>
      <c r="B12" s="399" t="s">
        <v>1120</v>
      </c>
      <c r="C12" s="403" t="s">
        <v>47</v>
      </c>
      <c r="D12" s="406"/>
      <c r="E12" s="399" t="s">
        <v>2415</v>
      </c>
      <c r="F12" s="399" t="s">
        <v>758</v>
      </c>
      <c r="G12" s="399" t="s">
        <v>13217</v>
      </c>
      <c r="H12" s="400">
        <v>0</v>
      </c>
      <c r="I12" s="401" t="s">
        <v>1746</v>
      </c>
      <c r="J12" s="401" t="s">
        <v>1725</v>
      </c>
      <c r="K12" s="404"/>
      <c r="L12" s="404"/>
      <c r="M12" s="404"/>
      <c r="N12" s="404"/>
      <c r="O12" s="404"/>
      <c r="P12" s="402"/>
      <c r="Q12" s="405"/>
      <c r="R12" s="182" t="str">
        <f ca="1">IF(ISERROR($V12),"",OFFSET('Smelter Look-up'!$C$4,$V12-4,0)&amp;"")</f>
        <v>Alpha</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400</v>
      </c>
      <c r="X12" s="227">
        <f t="shared" si="3"/>
        <v>0</v>
      </c>
      <c r="AB12" s="228" t="str">
        <f t="shared" si="4"/>
        <v>TinAlpha</v>
      </c>
    </row>
    <row r="13" spans="1:34" s="227" customFormat="1" ht="20.100000000000001" customHeight="1">
      <c r="A13" s="407" t="s">
        <v>15063</v>
      </c>
      <c r="B13" s="399" t="s">
        <v>1120</v>
      </c>
      <c r="C13" s="403" t="s">
        <v>15062</v>
      </c>
      <c r="D13" s="406"/>
      <c r="E13" s="399" t="s">
        <v>1095</v>
      </c>
      <c r="F13" s="399" t="s">
        <v>15063</v>
      </c>
      <c r="G13" s="399" t="s">
        <v>13217</v>
      </c>
      <c r="H13" s="400">
        <v>0</v>
      </c>
      <c r="I13" s="401" t="s">
        <v>15108</v>
      </c>
      <c r="J13" s="401" t="s">
        <v>12830</v>
      </c>
      <c r="K13" s="404"/>
      <c r="L13" s="404"/>
      <c r="M13" s="404"/>
      <c r="N13" s="404"/>
      <c r="O13" s="404"/>
      <c r="P13" s="402"/>
      <c r="Q13" s="405"/>
      <c r="R13" s="182" t="str">
        <f ca="1">IF(ISERROR($V13),"",OFFSET('Smelter Look-up'!$C$4,$V13-4,0)&amp;"")</f>
        <v>PT Aries Kencana Sejahtera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503</v>
      </c>
      <c r="X13" s="227">
        <f t="shared" si="3"/>
        <v>0</v>
      </c>
      <c r="AB13" s="228" t="str">
        <f t="shared" si="4"/>
        <v>TinPT Aries Kencana Sejahtera</v>
      </c>
    </row>
    <row r="14" spans="1:34" s="227" customFormat="1" ht="20.100000000000001" customHeight="1">
      <c r="A14" s="407" t="s">
        <v>1398</v>
      </c>
      <c r="B14" s="399" t="s">
        <v>1120</v>
      </c>
      <c r="C14" s="403" t="s">
        <v>896</v>
      </c>
      <c r="D14" s="406"/>
      <c r="E14" s="399" t="s">
        <v>1098</v>
      </c>
      <c r="F14" s="399" t="s">
        <v>1398</v>
      </c>
      <c r="G14" s="399" t="s">
        <v>13217</v>
      </c>
      <c r="H14" s="400">
        <v>0</v>
      </c>
      <c r="I14" s="401" t="s">
        <v>1567</v>
      </c>
      <c r="J14" s="401" t="s">
        <v>1568</v>
      </c>
      <c r="K14" s="404"/>
      <c r="L14" s="404"/>
      <c r="M14" s="404"/>
      <c r="N14" s="404"/>
      <c r="O14" s="404"/>
      <c r="P14" s="402"/>
      <c r="Q14" s="405"/>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429</v>
      </c>
      <c r="X14" s="227">
        <f t="shared" si="3"/>
        <v>0</v>
      </c>
      <c r="AB14" s="228" t="str">
        <f t="shared" si="4"/>
        <v>TinDowa</v>
      </c>
    </row>
    <row r="15" spans="1:34" s="227" customFormat="1" ht="20.100000000000001" customHeight="1">
      <c r="A15" s="407" t="s">
        <v>759</v>
      </c>
      <c r="B15" s="399" t="s">
        <v>1120</v>
      </c>
      <c r="C15" s="403" t="s">
        <v>832</v>
      </c>
      <c r="D15" s="406"/>
      <c r="E15" s="399" t="s">
        <v>2413</v>
      </c>
      <c r="F15" s="399" t="s">
        <v>759</v>
      </c>
      <c r="G15" s="399" t="s">
        <v>13217</v>
      </c>
      <c r="H15" s="400">
        <v>0</v>
      </c>
      <c r="I15" s="401" t="s">
        <v>1755</v>
      </c>
      <c r="J15" s="401" t="s">
        <v>1755</v>
      </c>
      <c r="K15" s="404"/>
      <c r="L15" s="404"/>
      <c r="M15" s="404"/>
      <c r="N15" s="404"/>
      <c r="O15" s="404"/>
      <c r="P15" s="402"/>
      <c r="Q15" s="405"/>
      <c r="R15" s="182" t="str">
        <f ca="1">IF(ISERROR($V15),"",OFFSET('Smelter Look-up'!$C$4,$V15-4,0)&amp;"")</f>
        <v>EM Vinto</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433</v>
      </c>
      <c r="X15" s="227">
        <f t="shared" si="3"/>
        <v>0</v>
      </c>
      <c r="AB15" s="228" t="str">
        <f t="shared" si="4"/>
        <v>TinEM Vinto</v>
      </c>
    </row>
    <row r="16" spans="1:34" s="227" customFormat="1" ht="20.100000000000001" customHeight="1">
      <c r="A16" s="407" t="s">
        <v>761</v>
      </c>
      <c r="B16" s="399" t="s">
        <v>1120</v>
      </c>
      <c r="C16" s="403" t="s">
        <v>805</v>
      </c>
      <c r="D16" s="406"/>
      <c r="E16" s="399" t="s">
        <v>872</v>
      </c>
      <c r="F16" s="399" t="s">
        <v>761</v>
      </c>
      <c r="G16" s="399" t="s">
        <v>13217</v>
      </c>
      <c r="H16" s="400">
        <v>0</v>
      </c>
      <c r="I16" s="401" t="s">
        <v>1757</v>
      </c>
      <c r="J16" s="401" t="s">
        <v>9479</v>
      </c>
      <c r="K16" s="404"/>
      <c r="L16" s="404"/>
      <c r="M16" s="404"/>
      <c r="N16" s="404"/>
      <c r="O16" s="404"/>
      <c r="P16" s="402"/>
      <c r="Q16" s="405"/>
      <c r="R16" s="182" t="str">
        <f ca="1">IF(ISERROR($V16),"",OFFSET('Smelter Look-up'!$C$4,$V16-4,0)&amp;"")</f>
        <v>Fenix Metals</v>
      </c>
      <c r="S16" s="181" t="str">
        <f t="shared" ca="1" si="2"/>
        <v>PL</v>
      </c>
      <c r="T16" s="181" t="str">
        <f ca="1">IF(B16="","",IF(ISERROR(MATCH($J16,SorP!$B$1:$B$6226,0)),"",INDIRECT("'SorP'!$A$"&amp;MATCH($S16&amp;$J16,SorP!C:C,0))))</f>
        <v>PL-18</v>
      </c>
      <c r="U16" s="201"/>
      <c r="V16" s="226">
        <f>IF(C16="",NA(),IF(OR(C16="Smelter not listed",C16="Smelter not yet identified"),MATCH($B16&amp;$D16,'Smelter Look-up'!$J:$J,0),MATCH($B16&amp;$C16,'Smelter Look-up'!$J:$J,0)))</f>
        <v>442</v>
      </c>
      <c r="X16" s="227">
        <f t="shared" si="3"/>
        <v>0</v>
      </c>
      <c r="AB16" s="228" t="str">
        <f t="shared" si="4"/>
        <v>TinFenix Metals</v>
      </c>
    </row>
    <row r="17" spans="1:28" s="227" customFormat="1" ht="20.100000000000001" customHeight="1">
      <c r="A17" s="407" t="s">
        <v>762</v>
      </c>
      <c r="B17" s="399" t="s">
        <v>1120</v>
      </c>
      <c r="C17" s="403" t="s">
        <v>2128</v>
      </c>
      <c r="D17" s="406"/>
      <c r="E17" s="399" t="s">
        <v>1090</v>
      </c>
      <c r="F17" s="399" t="s">
        <v>762</v>
      </c>
      <c r="G17" s="399" t="s">
        <v>13217</v>
      </c>
      <c r="H17" s="400">
        <v>0</v>
      </c>
      <c r="I17" s="401" t="s">
        <v>2429</v>
      </c>
      <c r="J17" s="401" t="s">
        <v>13605</v>
      </c>
      <c r="K17" s="404"/>
      <c r="L17" s="404"/>
      <c r="M17" s="404"/>
      <c r="N17" s="404"/>
      <c r="O17" s="404"/>
      <c r="P17" s="402"/>
      <c r="Q17" s="40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448</v>
      </c>
      <c r="X17" s="227">
        <f t="shared" si="3"/>
        <v>0</v>
      </c>
      <c r="AB17" s="228" t="str">
        <f t="shared" si="4"/>
        <v>TinGejiu Non-Ferrous Metal Processing Co., Ltd.</v>
      </c>
    </row>
    <row r="18" spans="1:28" s="227" customFormat="1" ht="20.100000000000001" customHeight="1">
      <c r="A18" s="398" t="s">
        <v>765</v>
      </c>
      <c r="B18" s="399" t="s">
        <v>1120</v>
      </c>
      <c r="C18" s="403" t="s">
        <v>1315</v>
      </c>
      <c r="D18" s="406"/>
      <c r="E18" s="399" t="s">
        <v>1090</v>
      </c>
      <c r="F18" s="399" t="s">
        <v>765</v>
      </c>
      <c r="G18" s="399" t="s">
        <v>13217</v>
      </c>
      <c r="H18" s="400">
        <v>0</v>
      </c>
      <c r="I18" s="401" t="s">
        <v>1761</v>
      </c>
      <c r="J18" s="401" t="s">
        <v>13580</v>
      </c>
      <c r="K18" s="404"/>
      <c r="L18" s="404"/>
      <c r="M18" s="404"/>
      <c r="N18" s="404"/>
      <c r="O18" s="404"/>
      <c r="P18" s="402"/>
      <c r="Q18" s="405"/>
      <c r="R18" s="182" t="str">
        <f ca="1">IF(ISERROR($V18),"",OFFSET('Smelter Look-up'!$C$4,$V18-4,0)&amp;"")</f>
        <v>China Tin Group Co., Ltd.</v>
      </c>
      <c r="S18" s="181" t="str">
        <f t="shared" ca="1" si="2"/>
        <v>CN</v>
      </c>
      <c r="T18" s="181" t="str">
        <f ca="1">IF(B18="","",IF(ISERROR(MATCH($J18,SorP!$B$1:$B$6226,0)),"",INDIRECT("'SorP'!$A$"&amp;MATCH($S18&amp;$J18,SorP!C:C,0))))</f>
        <v>CN-GX</v>
      </c>
      <c r="U18" s="201"/>
      <c r="V18" s="226">
        <f>IF(C18="",NA(),IF(OR(C18="Smelter not listed",C18="Smelter not yet identified"),MATCH($B18&amp;$D18,'Smelter Look-up'!$J:$J,0),MATCH($B18&amp;$C18,'Smelter Look-up'!$J:$J,0)))</f>
        <v>414</v>
      </c>
      <c r="X18" s="227">
        <f t="shared" si="3"/>
        <v>0</v>
      </c>
      <c r="AB18" s="228" t="str">
        <f t="shared" si="4"/>
        <v>TinChina Tin Group Co., Ltd.</v>
      </c>
    </row>
    <row r="19" spans="1:28" s="227" customFormat="1" ht="76.5">
      <c r="A19" s="398" t="s">
        <v>766</v>
      </c>
      <c r="B19" s="399" t="s">
        <v>1120</v>
      </c>
      <c r="C19" s="403" t="s">
        <v>811</v>
      </c>
      <c r="D19" s="406"/>
      <c r="E19" s="399" t="s">
        <v>1105</v>
      </c>
      <c r="F19" s="399" t="s">
        <v>766</v>
      </c>
      <c r="G19" s="399" t="s">
        <v>13217</v>
      </c>
      <c r="H19" s="400">
        <v>0</v>
      </c>
      <c r="I19" s="401" t="s">
        <v>1766</v>
      </c>
      <c r="J19" s="401" t="s">
        <v>8666</v>
      </c>
      <c r="K19" s="404"/>
      <c r="L19" s="404"/>
      <c r="M19" s="404"/>
      <c r="N19" s="404"/>
      <c r="O19" s="404"/>
      <c r="P19" s="402"/>
      <c r="Q19" s="405"/>
      <c r="R19" s="182" t="str">
        <f ca="1">IF(ISERROR($V19),"",OFFSET('Smelter Look-up'!$C$4,$V19-4,0)&amp;"")</f>
        <v>Malaysia Smelting Corporation (MSC)</v>
      </c>
      <c r="S19" s="181" t="str">
        <f t="shared" ca="1" si="2"/>
        <v>MY</v>
      </c>
      <c r="T19" s="181" t="str">
        <f ca="1">IF(B19="","",IF(ISERROR(MATCH($J19,SorP!$B$1:$B$6226,0)),"",INDIRECT("'SorP'!$A$"&amp;MATCH($S19&amp;$J19,SorP!C:C,0))))</f>
        <v>MY-07</v>
      </c>
      <c r="U19" s="201"/>
      <c r="V19" s="226">
        <f>IF(C19="",NA(),IF(OR(C19="Smelter not listed",C19="Smelter not yet identified"),MATCH($B19&amp;$D19,'Smelter Look-up'!$J:$J,0),MATCH($B19&amp;$C19,'Smelter Look-up'!$J:$J,0)))</f>
        <v>474</v>
      </c>
      <c r="X19" s="227">
        <f t="shared" si="3"/>
        <v>0</v>
      </c>
      <c r="AB19" s="228" t="str">
        <f t="shared" si="4"/>
        <v>TinMalaysia Smelting Corporation (MSC)</v>
      </c>
    </row>
    <row r="20" spans="1:28" s="227" customFormat="1" ht="51">
      <c r="A20" s="398" t="s">
        <v>1767</v>
      </c>
      <c r="B20" s="399" t="s">
        <v>1120</v>
      </c>
      <c r="C20" s="403" t="s">
        <v>2133</v>
      </c>
      <c r="D20" s="406"/>
      <c r="E20" s="399" t="s">
        <v>2415</v>
      </c>
      <c r="F20" s="399" t="s">
        <v>1767</v>
      </c>
      <c r="G20" s="399" t="s">
        <v>13217</v>
      </c>
      <c r="H20" s="400">
        <v>0</v>
      </c>
      <c r="I20" s="401" t="s">
        <v>1768</v>
      </c>
      <c r="J20" s="401" t="s">
        <v>1627</v>
      </c>
      <c r="K20" s="404"/>
      <c r="L20" s="404"/>
      <c r="M20" s="404"/>
      <c r="N20" s="404"/>
      <c r="O20" s="404"/>
      <c r="P20" s="402"/>
      <c r="Q20" s="405"/>
      <c r="R20" s="182" t="str">
        <f ca="1">IF(ISERROR($V20),"",OFFSET('Smelter Look-up'!$C$4,$V20-4,0)&amp;"")</f>
        <v>Metallic Resources, Inc.</v>
      </c>
      <c r="S20" s="181" t="str">
        <f t="shared" ca="1" si="2"/>
        <v>US</v>
      </c>
      <c r="T20" s="181" t="str">
        <f ca="1">IF(B20="","",IF(ISERROR(MATCH($J20,SorP!$B$1:$B$6226,0)),"",INDIRECT("'SorP'!$A$"&amp;MATCH($S20&amp;$J20,SorP!C:C,0))))</f>
        <v>US-OH</v>
      </c>
      <c r="U20" s="201"/>
      <c r="V20" s="226">
        <f>IF(C20="",NA(),IF(OR(C20="Smelter not listed",C20="Smelter not yet identified"),MATCH($B20&amp;$D20,'Smelter Look-up'!$J:$J,0),MATCH($B20&amp;$C20,'Smelter Look-up'!$J:$J,0)))</f>
        <v>479</v>
      </c>
      <c r="X20" s="227">
        <f t="shared" si="3"/>
        <v>0</v>
      </c>
      <c r="AB20" s="228" t="str">
        <f t="shared" si="4"/>
        <v>TinMetallic Resources, Inc.</v>
      </c>
    </row>
    <row r="21" spans="1:28" s="227" customFormat="1" ht="51">
      <c r="A21" s="398" t="s">
        <v>767</v>
      </c>
      <c r="B21" s="399" t="s">
        <v>1120</v>
      </c>
      <c r="C21" s="403" t="s">
        <v>12408</v>
      </c>
      <c r="D21" s="406"/>
      <c r="E21" s="399" t="s">
        <v>1086</v>
      </c>
      <c r="F21" s="399" t="s">
        <v>767</v>
      </c>
      <c r="G21" s="399" t="s">
        <v>13217</v>
      </c>
      <c r="H21" s="400">
        <v>0</v>
      </c>
      <c r="I21" s="401" t="s">
        <v>1769</v>
      </c>
      <c r="J21" s="401" t="s">
        <v>1666</v>
      </c>
      <c r="K21" s="404"/>
      <c r="L21" s="404"/>
      <c r="M21" s="404"/>
      <c r="N21" s="404"/>
      <c r="O21" s="404"/>
      <c r="P21" s="402"/>
      <c r="Q21" s="40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482</v>
      </c>
      <c r="X21" s="227">
        <f t="shared" si="3"/>
        <v>0</v>
      </c>
      <c r="AB21" s="228" t="str">
        <f t="shared" si="4"/>
        <v>TinMineracao Taboca S.A.</v>
      </c>
    </row>
    <row r="22" spans="1:28" s="227" customFormat="1" ht="25.5">
      <c r="A22" s="398" t="s">
        <v>768</v>
      </c>
      <c r="B22" s="399" t="s">
        <v>1120</v>
      </c>
      <c r="C22" s="403" t="s">
        <v>1024</v>
      </c>
      <c r="D22" s="406"/>
      <c r="E22" s="399" t="s">
        <v>870</v>
      </c>
      <c r="F22" s="399" t="s">
        <v>768</v>
      </c>
      <c r="G22" s="399" t="s">
        <v>13217</v>
      </c>
      <c r="H22" s="400">
        <v>0</v>
      </c>
      <c r="I22" s="401" t="s">
        <v>1771</v>
      </c>
      <c r="J22" s="401" t="s">
        <v>9093</v>
      </c>
      <c r="K22" s="404"/>
      <c r="L22" s="404"/>
      <c r="M22" s="404"/>
      <c r="N22" s="404"/>
      <c r="O22" s="404"/>
      <c r="P22" s="402"/>
      <c r="Q22" s="405"/>
      <c r="R22" s="182" t="str">
        <f ca="1">IF(ISERROR($V22),"",OFFSET('Smelter Look-up'!$C$4,$V22-4,0)&amp;"")</f>
        <v>Minsur</v>
      </c>
      <c r="S22" s="181" t="str">
        <f t="shared" ca="1" si="2"/>
        <v>PE</v>
      </c>
      <c r="T22" s="181" t="str">
        <f ca="1">IF(B22="","",IF(ISERROR(MATCH($J22,SorP!$B$1:$B$6226,0)),"",INDIRECT("'SorP'!$A$"&amp;MATCH($S22&amp;$J22,SorP!C:C,0))))</f>
        <v>PE-ICA</v>
      </c>
      <c r="U22" s="201"/>
      <c r="V22" s="226">
        <f>IF(C22="",NA(),IF(OR(C22="Smelter not listed",C22="Smelter not yet identified"),MATCH($B22&amp;$D22,'Smelter Look-up'!$J:$J,0),MATCH($B22&amp;$C22,'Smelter Look-up'!$J:$J,0)))</f>
        <v>487</v>
      </c>
      <c r="X22" s="227">
        <f t="shared" si="3"/>
        <v>0</v>
      </c>
      <c r="AB22" s="228" t="str">
        <f t="shared" si="4"/>
        <v>TinMinsur</v>
      </c>
    </row>
    <row r="23" spans="1:28" s="227" customFormat="1" ht="76.5">
      <c r="A23" s="398" t="s">
        <v>769</v>
      </c>
      <c r="B23" s="399" t="s">
        <v>1120</v>
      </c>
      <c r="C23" s="403" t="s">
        <v>1153</v>
      </c>
      <c r="D23" s="406"/>
      <c r="E23" s="399" t="s">
        <v>1098</v>
      </c>
      <c r="F23" s="399" t="s">
        <v>769</v>
      </c>
      <c r="G23" s="399" t="s">
        <v>13217</v>
      </c>
      <c r="H23" s="400">
        <v>0</v>
      </c>
      <c r="I23" s="401" t="s">
        <v>15828</v>
      </c>
      <c r="J23" s="401" t="s">
        <v>1544</v>
      </c>
      <c r="K23" s="404"/>
      <c r="L23" s="404"/>
      <c r="M23" s="404"/>
      <c r="N23" s="404"/>
      <c r="O23" s="404"/>
      <c r="P23" s="402"/>
      <c r="Q23" s="405"/>
      <c r="R23" s="182" t="str">
        <f ca="1">IF(ISERROR($V23),"",OFFSET('Smelter Look-up'!$C$4,$V23-4,0)&amp;"")</f>
        <v>Mitsubishi Materials Corporation</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488</v>
      </c>
      <c r="X23" s="227">
        <f t="shared" si="3"/>
        <v>0</v>
      </c>
      <c r="AB23" s="228" t="str">
        <f t="shared" si="4"/>
        <v>TinMitsubishi Materials Corporation</v>
      </c>
    </row>
    <row r="24" spans="1:28" s="227" customFormat="1" ht="63.75">
      <c r="A24" s="398" t="s">
        <v>1774</v>
      </c>
      <c r="B24" s="399" t="s">
        <v>1120</v>
      </c>
      <c r="C24" s="403" t="s">
        <v>13158</v>
      </c>
      <c r="D24" s="406"/>
      <c r="E24" s="399" t="s">
        <v>1090</v>
      </c>
      <c r="F24" s="399" t="s">
        <v>1774</v>
      </c>
      <c r="G24" s="399" t="s">
        <v>13217</v>
      </c>
      <c r="H24" s="400">
        <v>0</v>
      </c>
      <c r="I24" s="401" t="s">
        <v>1759</v>
      </c>
      <c r="J24" s="401" t="s">
        <v>13596</v>
      </c>
      <c r="K24" s="404"/>
      <c r="L24" s="404"/>
      <c r="M24" s="404"/>
      <c r="N24" s="404"/>
      <c r="O24" s="404"/>
      <c r="P24" s="402"/>
      <c r="Q24" s="405"/>
      <c r="R24" s="182" t="str">
        <f ca="1">IF(ISERROR($V24),"",OFFSET('Smelter Look-up'!$C$4,$V24-4,0)&amp;"")</f>
        <v>Jiangxi New Nanshan Technology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464</v>
      </c>
      <c r="X24" s="227">
        <f t="shared" si="3"/>
        <v>0</v>
      </c>
      <c r="AB24" s="228" t="str">
        <f t="shared" si="4"/>
        <v>TinJiangxi New Nanshan Technology Ltd.</v>
      </c>
    </row>
    <row r="25" spans="1:28" s="227" customFormat="1" ht="76.5">
      <c r="A25" s="398" t="s">
        <v>771</v>
      </c>
      <c r="B25" s="399" t="s">
        <v>1120</v>
      </c>
      <c r="C25" s="403" t="s">
        <v>770</v>
      </c>
      <c r="D25" s="406"/>
      <c r="E25" s="399" t="s">
        <v>878</v>
      </c>
      <c r="F25" s="399" t="s">
        <v>771</v>
      </c>
      <c r="G25" s="399" t="s">
        <v>13217</v>
      </c>
      <c r="H25" s="400">
        <v>0</v>
      </c>
      <c r="I25" s="401" t="s">
        <v>2323</v>
      </c>
      <c r="J25" s="401" t="s">
        <v>11003</v>
      </c>
      <c r="K25" s="404"/>
      <c r="L25" s="404"/>
      <c r="M25" s="404"/>
      <c r="N25" s="404"/>
      <c r="O25" s="404"/>
      <c r="P25" s="402"/>
      <c r="Q25" s="405"/>
      <c r="R25" s="182" t="str">
        <f ca="1">IF(ISERROR($V25),"",OFFSET('Smelter Look-up'!$C$4,$V25-4,0)&amp;"")</f>
        <v>O.M. Manufacturing (Thailand) Co., Ltd.</v>
      </c>
      <c r="S25" s="181" t="str">
        <f t="shared" ca="1" si="2"/>
        <v>TH</v>
      </c>
      <c r="T25" s="181" t="str">
        <f ca="1">IF(B25="","",IF(ISERROR(MATCH($J25,SorP!$B$1:$B$6226,0)),"",INDIRECT("'SorP'!$A$"&amp;MATCH($S25&amp;$J25,SorP!C:C,0))))</f>
        <v>TH-20</v>
      </c>
      <c r="U25" s="201"/>
      <c r="V25" s="226">
        <f>IF(C25="",NA(),IF(OR(C25="Smelter not listed",C25="Smelter not yet identified"),MATCH($B25&amp;$D25,'Smelter Look-up'!$J:$J,0),MATCH($B25&amp;$C25,'Smelter Look-up'!$J:$J,0)))</f>
        <v>496</v>
      </c>
      <c r="X25" s="227">
        <f t="shared" si="3"/>
        <v>0</v>
      </c>
      <c r="AB25" s="228" t="str">
        <f t="shared" si="4"/>
        <v>TinO.M. Manufacturing (Thailand) Co., Ltd.</v>
      </c>
    </row>
    <row r="26" spans="1:28" s="227" customFormat="1" ht="63.75">
      <c r="A26" s="398" t="s">
        <v>772</v>
      </c>
      <c r="B26" s="399" t="s">
        <v>1120</v>
      </c>
      <c r="C26" s="403" t="s">
        <v>13780</v>
      </c>
      <c r="D26" s="406"/>
      <c r="E26" s="399" t="s">
        <v>2413</v>
      </c>
      <c r="F26" s="399" t="s">
        <v>772</v>
      </c>
      <c r="G26" s="399" t="s">
        <v>13217</v>
      </c>
      <c r="H26" s="400">
        <v>0</v>
      </c>
      <c r="I26" s="401" t="s">
        <v>1755</v>
      </c>
      <c r="J26" s="401" t="s">
        <v>1755</v>
      </c>
      <c r="K26" s="404"/>
      <c r="L26" s="404"/>
      <c r="M26" s="404"/>
      <c r="N26" s="404"/>
      <c r="O26" s="404"/>
      <c r="P26" s="402"/>
      <c r="Q26" s="405"/>
      <c r="R26" s="182" t="str">
        <f ca="1">IF(ISERROR($V26),"",OFFSET('Smelter Look-up'!$C$4,$V26-4,0)&amp;"")</f>
        <v>Operaciones Metalurgicas S.A.</v>
      </c>
      <c r="S26" s="181" t="str">
        <f t="shared" ca="1" si="2"/>
        <v>BO</v>
      </c>
      <c r="T26" s="181" t="str">
        <f ca="1">IF(B26="","",IF(ISERROR(MATCH($J26,SorP!$B$1:$B$6226,0)),"",INDIRECT("'SorP'!$A$"&amp;MATCH($S26&amp;$J26,SorP!C:C,0))))</f>
        <v>BO-O</v>
      </c>
      <c r="U26" s="201"/>
      <c r="V26" s="226">
        <f>IF(C26="",NA(),IF(OR(C26="Smelter not listed",C26="Smelter not yet identified"),MATCH($B26&amp;$D26,'Smelter Look-up'!$J:$J,0),MATCH($B26&amp;$C26,'Smelter Look-up'!$J:$J,0)))</f>
        <v>499</v>
      </c>
      <c r="X26" s="227">
        <f t="shared" si="3"/>
        <v>0</v>
      </c>
      <c r="AB26" s="228" t="str">
        <f t="shared" si="4"/>
        <v>TinOperaciones Metalurgicas S.A.</v>
      </c>
    </row>
    <row r="27" spans="1:28" s="227" customFormat="1" ht="63.75">
      <c r="A27" s="398" t="s">
        <v>773</v>
      </c>
      <c r="B27" s="399" t="s">
        <v>1120</v>
      </c>
      <c r="C27" s="403" t="s">
        <v>834</v>
      </c>
      <c r="D27" s="406"/>
      <c r="E27" s="399" t="s">
        <v>1095</v>
      </c>
      <c r="F27" s="399" t="s">
        <v>773</v>
      </c>
      <c r="G27" s="399" t="s">
        <v>13217</v>
      </c>
      <c r="H27" s="400">
        <v>0</v>
      </c>
      <c r="I27" s="401" t="s">
        <v>1753</v>
      </c>
      <c r="J27" s="401" t="s">
        <v>12830</v>
      </c>
      <c r="K27" s="404"/>
      <c r="L27" s="404"/>
      <c r="M27" s="404"/>
      <c r="N27" s="404"/>
      <c r="O27" s="404"/>
      <c r="P27" s="402"/>
      <c r="Q27" s="405"/>
      <c r="R27" s="182" t="str">
        <f ca="1">IF(ISERROR($V27),"",OFFSET('Smelter Look-up'!$C$4,$V27-4,0)&amp;"")</f>
        <v>PT Artha Cipta Langgeng</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504</v>
      </c>
      <c r="X27" s="227">
        <f t="shared" si="3"/>
        <v>0</v>
      </c>
      <c r="AB27" s="228" t="str">
        <f t="shared" si="4"/>
        <v>TinPT Artha Cipta Langgeng</v>
      </c>
    </row>
    <row r="28" spans="1:28" s="227" customFormat="1" ht="51">
      <c r="A28" s="398" t="s">
        <v>15443</v>
      </c>
      <c r="B28" s="399" t="s">
        <v>1120</v>
      </c>
      <c r="C28" s="403" t="s">
        <v>15442</v>
      </c>
      <c r="D28" s="406"/>
      <c r="E28" s="399" t="s">
        <v>1095</v>
      </c>
      <c r="F28" s="399" t="s">
        <v>15443</v>
      </c>
      <c r="G28" s="399" t="s">
        <v>13217</v>
      </c>
      <c r="H28" s="400">
        <v>0</v>
      </c>
      <c r="I28" s="401" t="s">
        <v>15444</v>
      </c>
      <c r="J28" s="401" t="s">
        <v>12830</v>
      </c>
      <c r="K28" s="404"/>
      <c r="L28" s="404"/>
      <c r="M28" s="404"/>
      <c r="N28" s="404"/>
      <c r="O28" s="404"/>
      <c r="P28" s="402"/>
      <c r="Q28" s="405"/>
      <c r="R28" s="182" t="str">
        <f ca="1">IF(ISERROR($V28),"",OFFSET('Smelter Look-up'!$C$4,$V28-4,0)&amp;"")</f>
        <v>PT Babel Inti Perkasa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506</v>
      </c>
      <c r="X28" s="227">
        <f t="shared" si="3"/>
        <v>0</v>
      </c>
      <c r="AB28" s="228" t="str">
        <f t="shared" si="4"/>
        <v>TinPT Babel Inti Perkasa</v>
      </c>
    </row>
    <row r="29" spans="1:28" s="227" customFormat="1" ht="63.75">
      <c r="A29" s="398" t="s">
        <v>15076</v>
      </c>
      <c r="B29" s="399" t="s">
        <v>1120</v>
      </c>
      <c r="C29" s="403" t="s">
        <v>15075</v>
      </c>
      <c r="D29" s="406"/>
      <c r="E29" s="399" t="s">
        <v>1095</v>
      </c>
      <c r="F29" s="399" t="s">
        <v>15076</v>
      </c>
      <c r="G29" s="399" t="s">
        <v>13217</v>
      </c>
      <c r="H29" s="400">
        <v>0</v>
      </c>
      <c r="I29" s="401" t="s">
        <v>15112</v>
      </c>
      <c r="J29" s="401" t="s">
        <v>12830</v>
      </c>
      <c r="K29" s="404"/>
      <c r="L29" s="404"/>
      <c r="M29" s="404"/>
      <c r="N29" s="404"/>
      <c r="O29" s="404"/>
      <c r="P29" s="402"/>
      <c r="Q29" s="405"/>
      <c r="R29" s="182" t="str">
        <f ca="1">IF(ISERROR($V29),"",OFFSET('Smelter Look-up'!$C$4,$V29-4,0)&amp;"")</f>
        <v>PT Babel Surya Alam Lestari</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507</v>
      </c>
      <c r="X29" s="227">
        <f t="shared" si="3"/>
        <v>0</v>
      </c>
      <c r="AB29" s="228" t="str">
        <f t="shared" si="4"/>
        <v>TinPT Babel Surya Alam Lestari</v>
      </c>
    </row>
    <row r="30" spans="1:28" s="227" customFormat="1" ht="38.25">
      <c r="A30" s="398" t="s">
        <v>15435</v>
      </c>
      <c r="B30" s="399" t="s">
        <v>1120</v>
      </c>
      <c r="C30" s="403" t="s">
        <v>15434</v>
      </c>
      <c r="D30" s="406"/>
      <c r="E30" s="399" t="s">
        <v>1095</v>
      </c>
      <c r="F30" s="399" t="s">
        <v>15435</v>
      </c>
      <c r="G30" s="399" t="s">
        <v>13217</v>
      </c>
      <c r="H30" s="400">
        <v>0</v>
      </c>
      <c r="I30" s="401" t="s">
        <v>15109</v>
      </c>
      <c r="J30" s="401" t="s">
        <v>12830</v>
      </c>
      <c r="K30" s="404"/>
      <c r="L30" s="404"/>
      <c r="M30" s="404"/>
      <c r="N30" s="404"/>
      <c r="O30" s="404"/>
      <c r="P30" s="402"/>
      <c r="Q30" s="405"/>
      <c r="R30" s="182" t="str">
        <f ca="1">IF(ISERROR($V30),"",OFFSET('Smelter Look-up'!$C$4,$V30-4,0)&amp;"")</f>
        <v>PT Bukit Timah</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512</v>
      </c>
      <c r="X30" s="227">
        <f t="shared" si="3"/>
        <v>0</v>
      </c>
      <c r="AB30" s="228" t="str">
        <f t="shared" si="4"/>
        <v>TinPT Bukit Timah</v>
      </c>
    </row>
    <row r="31" spans="1:28" s="227" customFormat="1" ht="51">
      <c r="A31" s="398" t="s">
        <v>774</v>
      </c>
      <c r="B31" s="399" t="s">
        <v>1120</v>
      </c>
      <c r="C31" s="403" t="s">
        <v>623</v>
      </c>
      <c r="D31" s="406"/>
      <c r="E31" s="399" t="s">
        <v>1095</v>
      </c>
      <c r="F31" s="399" t="s">
        <v>774</v>
      </c>
      <c r="G31" s="399" t="s">
        <v>13217</v>
      </c>
      <c r="H31" s="400">
        <v>0</v>
      </c>
      <c r="I31" s="401" t="s">
        <v>1753</v>
      </c>
      <c r="J31" s="401" t="s">
        <v>12830</v>
      </c>
      <c r="K31" s="404"/>
      <c r="L31" s="404"/>
      <c r="M31" s="404"/>
      <c r="N31" s="404"/>
      <c r="O31" s="404"/>
      <c r="P31" s="402"/>
      <c r="Q31" s="405"/>
      <c r="R31" s="182" t="str">
        <f ca="1">IF(ISERROR($V31),"",OFFSET('Smelter Look-up'!$C$4,$V31-4,0)&amp;"")</f>
        <v>PT Mitra Stania Prima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518</v>
      </c>
      <c r="X31" s="227">
        <f t="shared" si="3"/>
        <v>0</v>
      </c>
      <c r="AB31" s="228" t="str">
        <f t="shared" si="4"/>
        <v>TinPT Mitra Stania Prima</v>
      </c>
    </row>
    <row r="32" spans="1:28" s="227" customFormat="1" ht="51">
      <c r="A32" s="398" t="s">
        <v>775</v>
      </c>
      <c r="B32" s="399" t="s">
        <v>1120</v>
      </c>
      <c r="C32" s="403" t="s">
        <v>2141</v>
      </c>
      <c r="D32" s="406"/>
      <c r="E32" s="399" t="s">
        <v>1095</v>
      </c>
      <c r="F32" s="399" t="s">
        <v>775</v>
      </c>
      <c r="G32" s="399" t="s">
        <v>13217</v>
      </c>
      <c r="H32" s="400">
        <v>0</v>
      </c>
      <c r="I32" s="401" t="s">
        <v>1753</v>
      </c>
      <c r="J32" s="401" t="s">
        <v>12830</v>
      </c>
      <c r="K32" s="404"/>
      <c r="L32" s="404"/>
      <c r="M32" s="404"/>
      <c r="N32" s="404"/>
      <c r="O32" s="404"/>
      <c r="P32" s="402"/>
      <c r="Q32" s="405"/>
      <c r="R32" s="182" t="str">
        <f ca="1">IF(ISERROR($V32),"",OFFSET('Smelter Look-up'!$C$4,$V32-4,0)&amp;"")</f>
        <v>PT Refined Bangka Tin</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526</v>
      </c>
      <c r="X32" s="227">
        <f t="shared" si="3"/>
        <v>0</v>
      </c>
      <c r="AB32" s="228" t="str">
        <f t="shared" si="4"/>
        <v>TinPT Refined Bangka Tin</v>
      </c>
    </row>
    <row r="33" spans="1:28" s="227" customFormat="1" ht="63.75">
      <c r="A33" s="398" t="s">
        <v>15457</v>
      </c>
      <c r="B33" s="399" t="s">
        <v>1120</v>
      </c>
      <c r="C33" s="403" t="s">
        <v>15456</v>
      </c>
      <c r="D33" s="406"/>
      <c r="E33" s="399" t="s">
        <v>1095</v>
      </c>
      <c r="F33" s="399" t="s">
        <v>15457</v>
      </c>
      <c r="G33" s="399" t="s">
        <v>13217</v>
      </c>
      <c r="H33" s="400">
        <v>0</v>
      </c>
      <c r="I33" s="401" t="s">
        <v>15109</v>
      </c>
      <c r="J33" s="401" t="s">
        <v>12830</v>
      </c>
      <c r="K33" s="404"/>
      <c r="L33" s="404"/>
      <c r="M33" s="404"/>
      <c r="N33" s="404"/>
      <c r="O33" s="404"/>
      <c r="P33" s="402"/>
      <c r="Q33" s="405"/>
      <c r="R33" s="182" t="str">
        <f ca="1">IF(ISERROR($V33),"",OFFSET('Smelter Look-up'!$C$4,$V33-4,0)&amp;"")</f>
        <v>PT Sariwiguna Binasentosa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527</v>
      </c>
      <c r="X33" s="227">
        <f t="shared" si="3"/>
        <v>0</v>
      </c>
      <c r="AB33" s="228" t="str">
        <f t="shared" si="4"/>
        <v>TinPT Sariwiguna Binasentosa</v>
      </c>
    </row>
    <row r="34" spans="1:28" s="227" customFormat="1" ht="51">
      <c r="A34" s="398" t="s">
        <v>15084</v>
      </c>
      <c r="B34" s="399" t="s">
        <v>1120</v>
      </c>
      <c r="C34" s="403" t="s">
        <v>15083</v>
      </c>
      <c r="D34" s="406"/>
      <c r="E34" s="399" t="s">
        <v>1095</v>
      </c>
      <c r="F34" s="399" t="s">
        <v>15084</v>
      </c>
      <c r="G34" s="399" t="s">
        <v>13217</v>
      </c>
      <c r="H34" s="400">
        <v>0</v>
      </c>
      <c r="I34" s="401" t="s">
        <v>15109</v>
      </c>
      <c r="J34" s="401" t="s">
        <v>12830</v>
      </c>
      <c r="K34" s="404"/>
      <c r="L34" s="404"/>
      <c r="M34" s="404"/>
      <c r="N34" s="404"/>
      <c r="O34" s="404"/>
      <c r="P34" s="402"/>
      <c r="Q34" s="405"/>
      <c r="R34" s="182" t="str">
        <f ca="1">IF(ISERROR($V34),"",OFFSET('Smelter Look-up'!$C$4,$V34-4,0)&amp;"")</f>
        <v>PT Stanindo Inti Perkasa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528</v>
      </c>
      <c r="X34" s="227">
        <f t="shared" si="3"/>
        <v>0</v>
      </c>
      <c r="AB34" s="228" t="str">
        <f t="shared" si="4"/>
        <v>TinPT Stanindo Inti Perkasa</v>
      </c>
    </row>
    <row r="35" spans="1:28" s="227" customFormat="1" ht="51">
      <c r="A35" s="398" t="s">
        <v>794</v>
      </c>
      <c r="B35" s="399" t="s">
        <v>1120</v>
      </c>
      <c r="C35" s="403" t="s">
        <v>13779</v>
      </c>
      <c r="D35" s="406"/>
      <c r="E35" s="399" t="s">
        <v>1095</v>
      </c>
      <c r="F35" s="399" t="s">
        <v>794</v>
      </c>
      <c r="G35" s="399" t="s">
        <v>13217</v>
      </c>
      <c r="H35" s="400">
        <v>0</v>
      </c>
      <c r="I35" s="401" t="s">
        <v>1778</v>
      </c>
      <c r="J35" s="401" t="s">
        <v>6047</v>
      </c>
      <c r="K35" s="404"/>
      <c r="L35" s="404"/>
      <c r="M35" s="404"/>
      <c r="N35" s="404"/>
      <c r="O35" s="404"/>
      <c r="P35" s="402"/>
      <c r="Q35" s="40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532</v>
      </c>
      <c r="X35" s="227">
        <f t="shared" si="3"/>
        <v>0</v>
      </c>
      <c r="AB35" s="228" t="str">
        <f t="shared" si="4"/>
        <v>TinPT Timah Tbk Kundur</v>
      </c>
    </row>
    <row r="36" spans="1:28" s="227" customFormat="1" ht="51">
      <c r="A36" s="398" t="s">
        <v>776</v>
      </c>
      <c r="B36" s="399" t="s">
        <v>1120</v>
      </c>
      <c r="C36" s="403" t="s">
        <v>13778</v>
      </c>
      <c r="D36" s="406"/>
      <c r="E36" s="399" t="s">
        <v>1095</v>
      </c>
      <c r="F36" s="399" t="s">
        <v>776</v>
      </c>
      <c r="G36" s="399" t="s">
        <v>13217</v>
      </c>
      <c r="H36" s="400">
        <v>0</v>
      </c>
      <c r="I36" s="401" t="s">
        <v>1780</v>
      </c>
      <c r="J36" s="401" t="s">
        <v>12830</v>
      </c>
      <c r="K36" s="404"/>
      <c r="L36" s="404"/>
      <c r="M36" s="404"/>
      <c r="N36" s="404"/>
      <c r="O36" s="404"/>
      <c r="P36" s="402"/>
      <c r="Q36" s="405"/>
      <c r="R36" s="182" t="str">
        <f ca="1">IF(ISERROR($V36),"",OFFSET('Smelter Look-up'!$C$4,$V36-4,0)&amp;"")</f>
        <v>PT Timah Tbk Mentok</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533</v>
      </c>
      <c r="X36" s="227">
        <f t="shared" si="3"/>
        <v>0</v>
      </c>
      <c r="AB36" s="228" t="str">
        <f t="shared" si="4"/>
        <v>TinPT Timah Tbk Mentok</v>
      </c>
    </row>
    <row r="37" spans="1:28" s="227" customFormat="1" ht="51">
      <c r="A37" s="398" t="s">
        <v>15086</v>
      </c>
      <c r="B37" s="399" t="s">
        <v>1120</v>
      </c>
      <c r="C37" s="403" t="s">
        <v>15085</v>
      </c>
      <c r="D37" s="406"/>
      <c r="E37" s="399" t="s">
        <v>1095</v>
      </c>
      <c r="F37" s="399" t="s">
        <v>15086</v>
      </c>
      <c r="G37" s="399" t="s">
        <v>13217</v>
      </c>
      <c r="H37" s="400">
        <v>0</v>
      </c>
      <c r="I37" s="401" t="s">
        <v>15116</v>
      </c>
      <c r="J37" s="401" t="s">
        <v>12830</v>
      </c>
      <c r="K37" s="404"/>
      <c r="L37" s="404"/>
      <c r="M37" s="404"/>
      <c r="N37" s="404"/>
      <c r="O37" s="404"/>
      <c r="P37" s="402"/>
      <c r="Q37" s="405"/>
      <c r="R37" s="182" t="str">
        <f ca="1">IF(ISERROR($V37),"",OFFSET('Smelter Look-up'!$C$4,$V37-4,0)&amp;"")</f>
        <v>PT Timah Nusantara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531</v>
      </c>
      <c r="X37" s="227">
        <f t="shared" si="3"/>
        <v>0</v>
      </c>
      <c r="AB37" s="228" t="str">
        <f t="shared" si="4"/>
        <v>TinPT Timah Nusantara</v>
      </c>
    </row>
    <row r="38" spans="1:28" s="227" customFormat="1" ht="51">
      <c r="A38" s="398" t="s">
        <v>15088</v>
      </c>
      <c r="B38" s="399" t="s">
        <v>1120</v>
      </c>
      <c r="C38" s="403" t="s">
        <v>15087</v>
      </c>
      <c r="D38" s="406"/>
      <c r="E38" s="399" t="s">
        <v>1095</v>
      </c>
      <c r="F38" s="399" t="s">
        <v>15088</v>
      </c>
      <c r="G38" s="399" t="s">
        <v>13217</v>
      </c>
      <c r="H38" s="400">
        <v>0</v>
      </c>
      <c r="I38" s="401" t="s">
        <v>15109</v>
      </c>
      <c r="J38" s="401" t="s">
        <v>12830</v>
      </c>
      <c r="K38" s="404"/>
      <c r="L38" s="404"/>
      <c r="M38" s="404"/>
      <c r="N38" s="404"/>
      <c r="O38" s="404"/>
      <c r="P38" s="402"/>
      <c r="Q38" s="405"/>
      <c r="R38" s="182" t="str">
        <f ca="1">IF(ISERROR($V38),"",OFFSET('Smelter Look-up'!$C$4,$V38-4,0)&amp;"")</f>
        <v>PT Tinindo Inter Nusa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534</v>
      </c>
      <c r="X38" s="227">
        <f t="shared" ref="X38:X68" si="6">IF(AND(C38="Smelter not listed",OR(LEN(D38)=0,LEN(E38)=0)),1,0)</f>
        <v>0</v>
      </c>
      <c r="AB38" s="228" t="str">
        <f t="shared" ref="AB38:AB68" si="7">B38&amp;C38</f>
        <v>TinPT Tinindo Inter Nusa</v>
      </c>
    </row>
    <row r="39" spans="1:28" s="227" customFormat="1" ht="38.25">
      <c r="A39" s="398" t="s">
        <v>15463</v>
      </c>
      <c r="B39" s="399" t="s">
        <v>1120</v>
      </c>
      <c r="C39" s="403" t="s">
        <v>15462</v>
      </c>
      <c r="D39" s="406"/>
      <c r="E39" s="399" t="s">
        <v>1095</v>
      </c>
      <c r="F39" s="399" t="s">
        <v>15463</v>
      </c>
      <c r="G39" s="399" t="s">
        <v>13217</v>
      </c>
      <c r="H39" s="400">
        <v>0</v>
      </c>
      <c r="I39" s="401" t="s">
        <v>15464</v>
      </c>
      <c r="J39" s="401" t="s">
        <v>12830</v>
      </c>
      <c r="K39" s="404"/>
      <c r="L39" s="404"/>
      <c r="M39" s="404"/>
      <c r="N39" s="404"/>
      <c r="O39" s="404"/>
      <c r="P39" s="402"/>
      <c r="Q39" s="405"/>
      <c r="R39" s="182" t="str">
        <f ca="1">IF(ISERROR($V39),"",OFFSET('Smelter Look-up'!$C$4,$V39-4,0)&amp;"")</f>
        <v>PT Tommy Utama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536</v>
      </c>
      <c r="X39" s="227">
        <f t="shared" si="6"/>
        <v>0</v>
      </c>
      <c r="AB39" s="228" t="str">
        <f t="shared" si="7"/>
        <v>TinPT Tommy Utama</v>
      </c>
    </row>
    <row r="40" spans="1:28" s="227" customFormat="1" ht="25.5">
      <c r="A40" s="398" t="s">
        <v>778</v>
      </c>
      <c r="B40" s="399" t="s">
        <v>1120</v>
      </c>
      <c r="C40" s="403" t="s">
        <v>777</v>
      </c>
      <c r="D40" s="406"/>
      <c r="E40" s="399" t="s">
        <v>2414</v>
      </c>
      <c r="F40" s="399" t="s">
        <v>778</v>
      </c>
      <c r="G40" s="399" t="s">
        <v>13217</v>
      </c>
      <c r="H40" s="400">
        <v>0</v>
      </c>
      <c r="I40" s="401" t="s">
        <v>13804</v>
      </c>
      <c r="J40" s="401" t="s">
        <v>1691</v>
      </c>
      <c r="K40" s="404"/>
      <c r="L40" s="404"/>
      <c r="M40" s="404"/>
      <c r="N40" s="404"/>
      <c r="O40" s="404"/>
      <c r="P40" s="402"/>
      <c r="Q40" s="405"/>
      <c r="R40" s="182" t="str">
        <f ca="1">IF(ISERROR($V40),"",OFFSET('Smelter Look-up'!$C$4,$V40-4,0)&amp;"")</f>
        <v>Rui Da Hung</v>
      </c>
      <c r="S40" s="181" t="str">
        <f t="shared" ca="1" si="5"/>
        <v>TW</v>
      </c>
      <c r="T40" s="181" t="str">
        <f ca="1">IF(B40="","",IF(ISERROR(MATCH($J40,SorP!$B$1:$B$6226,0)),"",INDIRECT("'SorP'!$A$"&amp;MATCH($S40&amp;$J40,SorP!C:C,0))))</f>
        <v>TW-TAO</v>
      </c>
      <c r="U40" s="201"/>
      <c r="V40" s="226">
        <f>IF(C40="",NA(),IF(OR(C40="Smelter not listed",C40="Smelter not yet identified"),MATCH($B40&amp;$D40,'Smelter Look-up'!$J:$J,0),MATCH($B40&amp;$C40,'Smelter Look-up'!$J:$J,0)))</f>
        <v>541</v>
      </c>
      <c r="X40" s="227">
        <f t="shared" si="6"/>
        <v>0</v>
      </c>
      <c r="AB40" s="228" t="str">
        <f t="shared" si="7"/>
        <v>TinRui Da Hung</v>
      </c>
    </row>
    <row r="41" spans="1:28" s="227" customFormat="1" ht="25.5">
      <c r="A41" s="398" t="s">
        <v>779</v>
      </c>
      <c r="B41" s="399" t="s">
        <v>1120</v>
      </c>
      <c r="C41" s="403" t="s">
        <v>1021</v>
      </c>
      <c r="D41" s="406"/>
      <c r="E41" s="399" t="s">
        <v>878</v>
      </c>
      <c r="F41" s="399" t="s">
        <v>779</v>
      </c>
      <c r="G41" s="399" t="s">
        <v>13217</v>
      </c>
      <c r="H41" s="400">
        <v>0</v>
      </c>
      <c r="I41" s="401" t="s">
        <v>1781</v>
      </c>
      <c r="J41" s="401" t="s">
        <v>1782</v>
      </c>
      <c r="K41" s="404"/>
      <c r="L41" s="404"/>
      <c r="M41" s="404"/>
      <c r="N41" s="404"/>
      <c r="O41" s="404"/>
      <c r="P41" s="402"/>
      <c r="Q41" s="405"/>
      <c r="R41" s="182" t="str">
        <f ca="1">IF(ISERROR($V41),"",OFFSET('Smelter Look-up'!$C$4,$V41-4,0)&amp;"")</f>
        <v>Thaisarco</v>
      </c>
      <c r="S41" s="181" t="str">
        <f t="shared" ca="1" si="5"/>
        <v>TH</v>
      </c>
      <c r="T41" s="181" t="str">
        <f ca="1">IF(B41="","",IF(ISERROR(MATCH($J41,SorP!$B$1:$B$6226,0)),"",INDIRECT("'SorP'!$A$"&amp;MATCH($S41&amp;$J41,SorP!C:C,0))))</f>
        <v>TH-83</v>
      </c>
      <c r="U41" s="201"/>
      <c r="V41" s="226">
        <f>IF(C41="",NA(),IF(OR(C41="Smelter not listed",C41="Smelter not yet identified"),MATCH($B41&amp;$D41,'Smelter Look-up'!$J:$J,0),MATCH($B41&amp;$C41,'Smelter Look-up'!$J:$J,0)))</f>
        <v>547</v>
      </c>
      <c r="X41" s="227">
        <f t="shared" si="6"/>
        <v>0</v>
      </c>
      <c r="AB41" s="228" t="str">
        <f t="shared" si="7"/>
        <v>TinThaisarco</v>
      </c>
    </row>
    <row r="42" spans="1:28" s="227" customFormat="1" ht="76.5">
      <c r="A42" s="398" t="s">
        <v>780</v>
      </c>
      <c r="B42" s="399" t="s">
        <v>1120</v>
      </c>
      <c r="C42" s="403" t="s">
        <v>2515</v>
      </c>
      <c r="D42" s="406"/>
      <c r="E42" s="399" t="s">
        <v>1086</v>
      </c>
      <c r="F42" s="399" t="s">
        <v>780</v>
      </c>
      <c r="G42" s="399" t="s">
        <v>13217</v>
      </c>
      <c r="H42" s="400">
        <v>0</v>
      </c>
      <c r="I42" s="401" t="s">
        <v>1752</v>
      </c>
      <c r="J42" s="401" t="s">
        <v>1756</v>
      </c>
      <c r="K42" s="404"/>
      <c r="L42" s="404"/>
      <c r="M42" s="404"/>
      <c r="N42" s="404"/>
      <c r="O42" s="404"/>
      <c r="P42" s="402"/>
      <c r="Q42" s="405"/>
      <c r="R42" s="182" t="str">
        <f ca="1">IF(ISERROR($V42),"",OFFSET('Smelter Look-up'!$C$4,$V42-4,0)&amp;"")</f>
        <v>White Solder Metalurgia e Mineracao Ltda.</v>
      </c>
      <c r="S42" s="181" t="str">
        <f t="shared" ca="1" si="5"/>
        <v>BR</v>
      </c>
      <c r="T42" s="181" t="str">
        <f ca="1">IF(B42="","",IF(ISERROR(MATCH($J42,SorP!$B$1:$B$6226,0)),"",INDIRECT("'SorP'!$A$"&amp;MATCH($S42&amp;$J42,SorP!C:C,0))))</f>
        <v>BR-RO</v>
      </c>
      <c r="U42" s="201"/>
      <c r="V42" s="226">
        <f>IF(C42="",NA(),IF(OR(C42="Smelter not listed",C42="Smelter not yet identified"),MATCH($B42&amp;$D42,'Smelter Look-up'!$J:$J,0),MATCH($B42&amp;$C42,'Smelter Look-up'!$J:$J,0)))</f>
        <v>556</v>
      </c>
      <c r="X42" s="227">
        <f t="shared" si="6"/>
        <v>0</v>
      </c>
      <c r="AB42" s="228" t="str">
        <f t="shared" si="7"/>
        <v>TinWhite Solder Metalurgia e Mineracao Ltda.</v>
      </c>
    </row>
    <row r="43" spans="1:28" s="227" customFormat="1" ht="102">
      <c r="A43" s="398" t="s">
        <v>781</v>
      </c>
      <c r="B43" s="399" t="s">
        <v>1120</v>
      </c>
      <c r="C43" s="403" t="s">
        <v>2150</v>
      </c>
      <c r="D43" s="406"/>
      <c r="E43" s="399" t="s">
        <v>1090</v>
      </c>
      <c r="F43" s="399" t="s">
        <v>781</v>
      </c>
      <c r="G43" s="399" t="s">
        <v>13217</v>
      </c>
      <c r="H43" s="400">
        <v>0</v>
      </c>
      <c r="I43" s="401" t="s">
        <v>2429</v>
      </c>
      <c r="J43" s="401" t="s">
        <v>13605</v>
      </c>
      <c r="K43" s="404"/>
      <c r="L43" s="404"/>
      <c r="M43" s="404"/>
      <c r="N43" s="404"/>
      <c r="O43" s="404"/>
      <c r="P43" s="402"/>
      <c r="Q43" s="405"/>
      <c r="R43" s="182" t="str">
        <f ca="1">IF(ISERROR($V43),"",OFFSET('Smelter Look-up'!$C$4,$V43-4,0)&amp;"")</f>
        <v>Yunnan Chengfeng Non-ferrous Metals Co., Ltd.</v>
      </c>
      <c r="S43" s="181" t="str">
        <f t="shared" ca="1" si="5"/>
        <v>CN</v>
      </c>
      <c r="T43" s="181" t="str">
        <f ca="1">IF(B43="","",IF(ISERROR(MATCH($J43,SorP!$B$1:$B$6226,0)),"",INDIRECT("'SorP'!$A$"&amp;MATCH($S43&amp;$J43,SorP!C:C,0))))</f>
        <v>CN-YN</v>
      </c>
      <c r="U43" s="201"/>
      <c r="V43" s="226">
        <f>IF(C43="",NA(),IF(OR(C43="Smelter not listed",C43="Smelter not yet identified"),MATCH($B43&amp;$D43,'Smelter Look-up'!$J:$J,0),MATCH($B43&amp;$C43,'Smelter Look-up'!$J:$J,0)))</f>
        <v>565</v>
      </c>
      <c r="X43" s="227">
        <f t="shared" si="6"/>
        <v>0</v>
      </c>
      <c r="AB43" s="228" t="str">
        <f t="shared" si="7"/>
        <v>TinYunnan Chengfeng Non-ferrous Metals Co., Ltd.</v>
      </c>
    </row>
    <row r="44" spans="1:28" s="227" customFormat="1" ht="89.25">
      <c r="A44" s="398" t="s">
        <v>782</v>
      </c>
      <c r="B44" s="399" t="s">
        <v>1120</v>
      </c>
      <c r="C44" s="403" t="s">
        <v>15436</v>
      </c>
      <c r="D44" s="406"/>
      <c r="E44" s="399" t="s">
        <v>1090</v>
      </c>
      <c r="F44" s="399" t="s">
        <v>782</v>
      </c>
      <c r="G44" s="399" t="s">
        <v>13217</v>
      </c>
      <c r="H44" s="400">
        <v>0</v>
      </c>
      <c r="I44" s="401" t="s">
        <v>2429</v>
      </c>
      <c r="J44" s="401" t="s">
        <v>13605</v>
      </c>
      <c r="K44" s="404"/>
      <c r="L44" s="404"/>
      <c r="M44" s="404"/>
      <c r="N44" s="404"/>
      <c r="O44" s="404"/>
      <c r="P44" s="402"/>
      <c r="Q44" s="405"/>
      <c r="R44" s="182" t="str">
        <f ca="1">IF(ISERROR($V44),"",OFFSET('Smelter Look-up'!$C$4,$V44-4,0)&amp;"")</f>
        <v>Tin Smelting Branch of Yunnan Tin Co., Ltd.</v>
      </c>
      <c r="S44" s="181" t="str">
        <f t="shared" ca="1" si="5"/>
        <v>CN</v>
      </c>
      <c r="T44" s="181" t="str">
        <f ca="1">IF(B44="","",IF(ISERROR(MATCH($J44,SorP!$B$1:$B$6226,0)),"",INDIRECT("'SorP'!$A$"&amp;MATCH($S44&amp;$J44,SorP!C:C,0))))</f>
        <v>CN-YN</v>
      </c>
      <c r="U44" s="201"/>
      <c r="V44" s="226">
        <f>IF(C44="",NA(),IF(OR(C44="Smelter not listed",C44="Smelter not yet identified"),MATCH($B44&amp;$D44,'Smelter Look-up'!$J:$J,0),MATCH($B44&amp;$C44,'Smelter Look-up'!$J:$J,0)))</f>
        <v>550</v>
      </c>
      <c r="X44" s="227">
        <f t="shared" si="6"/>
        <v>0</v>
      </c>
      <c r="AB44" s="228" t="str">
        <f t="shared" si="7"/>
        <v>TinTin Smelting Branch of Yunnan Tin Co., Ltd.</v>
      </c>
    </row>
    <row r="45" spans="1:28" s="227" customFormat="1" ht="63.75">
      <c r="A45" s="398" t="s">
        <v>1392</v>
      </c>
      <c r="B45" s="399" t="s">
        <v>1120</v>
      </c>
      <c r="C45" s="403" t="s">
        <v>1391</v>
      </c>
      <c r="D45" s="406"/>
      <c r="E45" s="399" t="s">
        <v>1095</v>
      </c>
      <c r="F45" s="399" t="s">
        <v>1392</v>
      </c>
      <c r="G45" s="399" t="s">
        <v>13217</v>
      </c>
      <c r="H45" s="400">
        <v>0</v>
      </c>
      <c r="I45" s="401" t="s">
        <v>1753</v>
      </c>
      <c r="J45" s="401" t="s">
        <v>12830</v>
      </c>
      <c r="K45" s="404"/>
      <c r="L45" s="404"/>
      <c r="M45" s="404"/>
      <c r="N45" s="404"/>
      <c r="O45" s="404"/>
      <c r="P45" s="402"/>
      <c r="Q45" s="405"/>
      <c r="R45" s="182" t="str">
        <f ca="1">IF(ISERROR($V45),"",OFFSET('Smelter Look-up'!$C$4,$V45-4,0)&amp;"")</f>
        <v>PT ATD Makmur Mandiri Jaya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505</v>
      </c>
      <c r="X45" s="227">
        <f t="shared" si="6"/>
        <v>0</v>
      </c>
      <c r="AB45" s="228" t="str">
        <f t="shared" si="7"/>
        <v>TinPT ATD Makmur Mandiri Jaya</v>
      </c>
    </row>
    <row r="46" spans="1:28" s="227" customFormat="1" ht="63.75">
      <c r="A46" s="398" t="s">
        <v>1390</v>
      </c>
      <c r="B46" s="399" t="s">
        <v>1120</v>
      </c>
      <c r="C46" s="403" t="s">
        <v>1389</v>
      </c>
      <c r="D46" s="406"/>
      <c r="E46" s="399" t="s">
        <v>871</v>
      </c>
      <c r="F46" s="399" t="s">
        <v>1390</v>
      </c>
      <c r="G46" s="399" t="s">
        <v>13217</v>
      </c>
      <c r="H46" s="400">
        <v>0</v>
      </c>
      <c r="I46" s="401" t="s">
        <v>12919</v>
      </c>
      <c r="J46" s="401" t="s">
        <v>9429</v>
      </c>
      <c r="K46" s="404"/>
      <c r="L46" s="404"/>
      <c r="M46" s="404"/>
      <c r="N46" s="404"/>
      <c r="O46" s="404"/>
      <c r="P46" s="402"/>
      <c r="Q46" s="405"/>
      <c r="R46" s="182" t="str">
        <f ca="1">IF(ISERROR($V46),"",OFFSET('Smelter Look-up'!$C$4,$V46-4,0)&amp;"")</f>
        <v>O.M. Manufacturing Philippines, Inc.</v>
      </c>
      <c r="S46" s="181" t="str">
        <f t="shared" ca="1" si="5"/>
        <v>PH</v>
      </c>
      <c r="T46" s="181" t="str">
        <f ca="1">IF(B46="","",IF(ISERROR(MATCH($J46,SorP!$B$1:$B$6226,0)),"",INDIRECT("'SorP'!$A$"&amp;MATCH($S46&amp;$J46,SorP!C:C,0))))</f>
        <v>PH-CAV</v>
      </c>
      <c r="U46" s="201"/>
      <c r="V46" s="226">
        <f>IF(C46="",NA(),IF(OR(C46="Smelter not listed",C46="Smelter not yet identified"),MATCH($B46&amp;$D46,'Smelter Look-up'!$J:$J,0),MATCH($B46&amp;$C46,'Smelter Look-up'!$J:$J,0)))</f>
        <v>497</v>
      </c>
      <c r="X46" s="227">
        <f t="shared" si="6"/>
        <v>0</v>
      </c>
      <c r="AB46" s="228" t="str">
        <f t="shared" si="7"/>
        <v>TinO.M. Manufacturing Philippines, Inc.</v>
      </c>
    </row>
    <row r="47" spans="1:28" s="227" customFormat="1" ht="25.5">
      <c r="A47" s="398" t="s">
        <v>15499</v>
      </c>
      <c r="B47" s="399" t="s">
        <v>1120</v>
      </c>
      <c r="C47" s="403" t="s">
        <v>15498</v>
      </c>
      <c r="D47" s="406"/>
      <c r="E47" s="399" t="s">
        <v>1095</v>
      </c>
      <c r="F47" s="399" t="s">
        <v>15499</v>
      </c>
      <c r="G47" s="399" t="s">
        <v>13217</v>
      </c>
      <c r="H47" s="400">
        <v>0</v>
      </c>
      <c r="I47" s="401" t="s">
        <v>1753</v>
      </c>
      <c r="J47" s="401" t="s">
        <v>12830</v>
      </c>
      <c r="K47" s="404"/>
      <c r="L47" s="404"/>
      <c r="M47" s="404"/>
      <c r="N47" s="404"/>
      <c r="O47" s="404"/>
      <c r="P47" s="402"/>
      <c r="Q47" s="405"/>
      <c r="R47" s="182" t="str">
        <f ca="1">IF(ISERROR($V47),"",OFFSET('Smelter Look-up'!$C$4,$V47-4,0)&amp;"")</f>
        <v>CV Ayi Jaya</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423</v>
      </c>
      <c r="X47" s="227">
        <f t="shared" si="6"/>
        <v>0</v>
      </c>
      <c r="AB47" s="228" t="str">
        <f t="shared" si="7"/>
        <v>TinCV Ayi Jaya</v>
      </c>
    </row>
    <row r="48" spans="1:28" s="227" customFormat="1" ht="51">
      <c r="A48" s="398" t="s">
        <v>15448</v>
      </c>
      <c r="B48" s="399" t="s">
        <v>1120</v>
      </c>
      <c r="C48" s="403" t="s">
        <v>15447</v>
      </c>
      <c r="D48" s="406"/>
      <c r="E48" s="399" t="s">
        <v>1095</v>
      </c>
      <c r="F48" s="399" t="s">
        <v>15448</v>
      </c>
      <c r="G48" s="399" t="s">
        <v>13217</v>
      </c>
      <c r="H48" s="400">
        <v>0</v>
      </c>
      <c r="I48" s="401" t="s">
        <v>15449</v>
      </c>
      <c r="J48" s="401" t="s">
        <v>1776</v>
      </c>
      <c r="K48" s="404"/>
      <c r="L48" s="404"/>
      <c r="M48" s="404"/>
      <c r="N48" s="404"/>
      <c r="O48" s="404"/>
      <c r="P48" s="402"/>
      <c r="Q48" s="405"/>
      <c r="R48" s="182" t="str">
        <f ca="1">IF(ISERROR($V48),"",OFFSET('Smelter Look-up'!$C$4,$V48-4,0)&amp;"")</f>
        <v>PT Cipta Persada Mulia</v>
      </c>
      <c r="S48" s="181" t="str">
        <f t="shared" ca="1" si="5"/>
        <v>ID</v>
      </c>
      <c r="T48" s="181" t="str">
        <f ca="1">IF(B48="","",IF(ISERROR(MATCH($J48,SorP!$B$1:$B$6226,0)),"",INDIRECT("'SorP'!$A$"&amp;MATCH($S48&amp;$J48,SorP!C:C,0))))</f>
        <v>ID-KR</v>
      </c>
      <c r="U48" s="201"/>
      <c r="V48" s="226">
        <f>IF(C48="",NA(),IF(OR(C48="Smelter not listed",C48="Smelter not yet identified"),MATCH($B48&amp;$D48,'Smelter Look-up'!$J:$J,0),MATCH($B48&amp;$C48,'Smelter Look-up'!$J:$J,0)))</f>
        <v>513</v>
      </c>
      <c r="X48" s="227">
        <f t="shared" si="6"/>
        <v>0</v>
      </c>
      <c r="AB48" s="228" t="str">
        <f t="shared" si="7"/>
        <v>TinPT Cipta Persada Mulia</v>
      </c>
    </row>
    <row r="49" spans="1:28" s="227" customFormat="1" ht="25.5">
      <c r="A49" s="398" t="s">
        <v>2514</v>
      </c>
      <c r="B49" s="399" t="s">
        <v>1120</v>
      </c>
      <c r="C49" s="403" t="s">
        <v>2513</v>
      </c>
      <c r="D49" s="406"/>
      <c r="E49" s="399" t="s">
        <v>1086</v>
      </c>
      <c r="F49" s="399" t="s">
        <v>2514</v>
      </c>
      <c r="G49" s="399" t="s">
        <v>13217</v>
      </c>
      <c r="H49" s="400">
        <v>0</v>
      </c>
      <c r="I49" s="401" t="s">
        <v>2522</v>
      </c>
      <c r="J49" s="401" t="s">
        <v>1666</v>
      </c>
      <c r="K49" s="404"/>
      <c r="L49" s="404"/>
      <c r="M49" s="404"/>
      <c r="N49" s="404"/>
      <c r="O49" s="404"/>
      <c r="P49" s="402"/>
      <c r="Q49" s="405"/>
      <c r="R49" s="182" t="str">
        <f ca="1">IF(ISERROR($V49),"",OFFSET('Smelter Look-up'!$C$4,$V49-4,0)&amp;"")</f>
        <v>Super Ligas</v>
      </c>
      <c r="S49" s="181" t="str">
        <f t="shared" ca="1" si="5"/>
        <v>BR</v>
      </c>
      <c r="T49" s="181" t="str">
        <f ca="1">IF(B49="","",IF(ISERROR(MATCH($J49,SorP!$B$1:$B$6226,0)),"",INDIRECT("'SorP'!$A$"&amp;MATCH($S49&amp;$J49,SorP!C:C,0))))</f>
        <v>BR-SP</v>
      </c>
      <c r="U49" s="201"/>
      <c r="V49" s="226">
        <f>IF(C49="",NA(),IF(OR(C49="Smelter not listed",C49="Smelter not yet identified"),MATCH($B49&amp;$D49,'Smelter Look-up'!$J:$J,0),MATCH($B49&amp;$C49,'Smelter Look-up'!$J:$J,0)))</f>
        <v>543</v>
      </c>
      <c r="X49" s="227">
        <f t="shared" si="6"/>
        <v>0</v>
      </c>
      <c r="AB49" s="228" t="str">
        <f t="shared" si="7"/>
        <v>TinSuper Ligas</v>
      </c>
    </row>
    <row r="50" spans="1:28" s="227" customFormat="1" ht="38.25">
      <c r="A50" s="398" t="s">
        <v>1801</v>
      </c>
      <c r="B50" s="399" t="s">
        <v>1120</v>
      </c>
      <c r="C50" s="403" t="s">
        <v>15496</v>
      </c>
      <c r="D50" s="406"/>
      <c r="E50" s="399" t="s">
        <v>1085</v>
      </c>
      <c r="F50" s="399" t="s">
        <v>1801</v>
      </c>
      <c r="G50" s="399" t="s">
        <v>13217</v>
      </c>
      <c r="H50" s="400">
        <v>0</v>
      </c>
      <c r="I50" s="401" t="s">
        <v>1802</v>
      </c>
      <c r="J50" s="401" t="s">
        <v>3135</v>
      </c>
      <c r="K50" s="404"/>
      <c r="L50" s="404"/>
      <c r="M50" s="404"/>
      <c r="N50" s="404"/>
      <c r="O50" s="404"/>
      <c r="P50" s="402"/>
      <c r="Q50" s="405"/>
      <c r="R50" s="182" t="str">
        <f ca="1">IF(ISERROR($V50),"",OFFSET('Smelter Look-up'!$C$4,$V50-4,0)&amp;"")</f>
        <v>Aurubis Beerse</v>
      </c>
      <c r="S50" s="181" t="str">
        <f t="shared" ca="1" si="5"/>
        <v>BE</v>
      </c>
      <c r="T50" s="181" t="str">
        <f ca="1">IF(B50="","",IF(ISERROR(MATCH($J50,SorP!$B$1:$B$6226,0)),"",INDIRECT("'SorP'!$A$"&amp;MATCH($S50&amp;$J50,SorP!C:C,0))))</f>
        <v>BE-VAN</v>
      </c>
      <c r="U50" s="201"/>
      <c r="V50" s="226">
        <f>IF(C50="",NA(),IF(OR(C50="Smelter not listed",C50="Smelter not yet identified"),MATCH($B50&amp;$D50,'Smelter Look-up'!$J:$J,0),MATCH($B50&amp;$C50,'Smelter Look-up'!$J:$J,0)))</f>
        <v>405</v>
      </c>
      <c r="X50" s="227">
        <f t="shared" si="6"/>
        <v>0</v>
      </c>
      <c r="AB50" s="228" t="str">
        <f t="shared" si="7"/>
        <v>TinAurubis Beerse</v>
      </c>
    </row>
    <row r="51" spans="1:28" s="227" customFormat="1" ht="38.25">
      <c r="A51" s="398" t="s">
        <v>1803</v>
      </c>
      <c r="B51" s="399" t="s">
        <v>1120</v>
      </c>
      <c r="C51" s="403" t="s">
        <v>15497</v>
      </c>
      <c r="D51" s="406"/>
      <c r="E51" s="399" t="s">
        <v>1092</v>
      </c>
      <c r="F51" s="399" t="s">
        <v>1803</v>
      </c>
      <c r="G51" s="399" t="s">
        <v>13217</v>
      </c>
      <c r="H51" s="400">
        <v>0</v>
      </c>
      <c r="I51" s="401" t="s">
        <v>1804</v>
      </c>
      <c r="J51" s="401" t="s">
        <v>12390</v>
      </c>
      <c r="K51" s="404"/>
      <c r="L51" s="404"/>
      <c r="M51" s="404"/>
      <c r="N51" s="404"/>
      <c r="O51" s="404"/>
      <c r="P51" s="402"/>
      <c r="Q51" s="405"/>
      <c r="R51" s="182" t="str">
        <f ca="1">IF(ISERROR($V51),"",OFFSET('Smelter Look-up'!$C$4,$V51-4,0)&amp;"")</f>
        <v>Aurubis Berango</v>
      </c>
      <c r="S51" s="181" t="str">
        <f t="shared" ca="1" si="5"/>
        <v>ES</v>
      </c>
      <c r="T51" s="181" t="str">
        <f ca="1">IF(B51="","",IF(ISERROR(MATCH($J51,SorP!$B$1:$B$6226,0)),"",INDIRECT("'SorP'!$A$"&amp;MATCH($S51&amp;$J51,SorP!C:C,0))))</f>
        <v>ES-BI</v>
      </c>
      <c r="U51" s="201"/>
      <c r="V51" s="226">
        <f>IF(C51="",NA(),IF(OR(C51="Smelter not listed",C51="Smelter not yet identified"),MATCH($B51&amp;$D51,'Smelter Look-up'!$J:$J,0),MATCH($B51&amp;$C51,'Smelter Look-up'!$J:$J,0)))</f>
        <v>406</v>
      </c>
      <c r="X51" s="227">
        <f t="shared" si="6"/>
        <v>0</v>
      </c>
      <c r="AB51" s="228" t="str">
        <f t="shared" si="7"/>
        <v>TinAurubis Berango</v>
      </c>
    </row>
    <row r="52" spans="1:28" s="227" customFormat="1" ht="63.75">
      <c r="A52" s="398" t="s">
        <v>15458</v>
      </c>
      <c r="B52" s="399" t="s">
        <v>1120</v>
      </c>
      <c r="C52" s="403" t="s">
        <v>15820</v>
      </c>
      <c r="D52" s="406"/>
      <c r="E52" s="399" t="s">
        <v>1095</v>
      </c>
      <c r="F52" s="399" t="s">
        <v>15458</v>
      </c>
      <c r="G52" s="399" t="s">
        <v>13217</v>
      </c>
      <c r="H52" s="400">
        <v>0</v>
      </c>
      <c r="I52" s="401" t="s">
        <v>15513</v>
      </c>
      <c r="J52" s="401" t="s">
        <v>12830</v>
      </c>
      <c r="K52" s="404"/>
      <c r="L52" s="404"/>
      <c r="M52" s="404"/>
      <c r="N52" s="404"/>
      <c r="O52" s="404"/>
      <c r="P52" s="402"/>
      <c r="Q52" s="405"/>
      <c r="R52" s="182" t="str">
        <f ca="1">IF(ISERROR($V52),"",OFFSET('Smelter Look-up'!$C$4,$V52-4,0)&amp;"")</f>
        <v>PT Sukses Inti Makmur (SIM)</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529</v>
      </c>
      <c r="X52" s="227">
        <f t="shared" si="6"/>
        <v>0</v>
      </c>
      <c r="AB52" s="228" t="str">
        <f t="shared" si="7"/>
        <v>TinPT Sukses Inti Makmur (SIM)</v>
      </c>
    </row>
    <row r="53" spans="1:28" s="227" customFormat="1" ht="51">
      <c r="A53" s="398" t="s">
        <v>15078</v>
      </c>
      <c r="B53" s="399" t="s">
        <v>1120</v>
      </c>
      <c r="C53" s="403" t="s">
        <v>15077</v>
      </c>
      <c r="D53" s="406"/>
      <c r="E53" s="399" t="s">
        <v>1095</v>
      </c>
      <c r="F53" s="399" t="s">
        <v>15078</v>
      </c>
      <c r="G53" s="399" t="s">
        <v>13217</v>
      </c>
      <c r="H53" s="400">
        <v>0</v>
      </c>
      <c r="I53" s="401" t="s">
        <v>15114</v>
      </c>
      <c r="J53" s="401" t="s">
        <v>12830</v>
      </c>
      <c r="K53" s="404"/>
      <c r="L53" s="404"/>
      <c r="M53" s="404"/>
      <c r="N53" s="404"/>
      <c r="O53" s="404"/>
      <c r="P53" s="402"/>
      <c r="Q53" s="405"/>
      <c r="R53" s="182" t="str">
        <f ca="1">IF(ISERROR($V53),"",OFFSET('Smelter Look-up'!$C$4,$V53-4,0)&amp;"")</f>
        <v>PT Menara Cipta Mulia</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516</v>
      </c>
      <c r="X53" s="227">
        <f t="shared" si="6"/>
        <v>0</v>
      </c>
      <c r="AB53" s="228" t="str">
        <f t="shared" si="7"/>
        <v>TinPT Menara Cipta Mulia</v>
      </c>
    </row>
    <row r="54" spans="1:28" s="227" customFormat="1" ht="102">
      <c r="A54" s="398" t="s">
        <v>2512</v>
      </c>
      <c r="B54" s="399" t="s">
        <v>1120</v>
      </c>
      <c r="C54" s="403" t="s">
        <v>2511</v>
      </c>
      <c r="D54" s="406"/>
      <c r="E54" s="399" t="s">
        <v>1090</v>
      </c>
      <c r="F54" s="399" t="s">
        <v>2512</v>
      </c>
      <c r="G54" s="399" t="s">
        <v>13217</v>
      </c>
      <c r="H54" s="400">
        <v>0</v>
      </c>
      <c r="I54" s="401" t="s">
        <v>1810</v>
      </c>
      <c r="J54" s="401" t="s">
        <v>13601</v>
      </c>
      <c r="K54" s="404"/>
      <c r="L54" s="404"/>
      <c r="M54" s="404"/>
      <c r="N54" s="404"/>
      <c r="O54" s="404"/>
      <c r="P54" s="402"/>
      <c r="Q54" s="405"/>
      <c r="R54" s="182" t="str">
        <f ca="1">IF(ISERROR($V54),"",OFFSET('Smelter Look-up'!$C$4,$V54-4,0)&amp;"")</f>
        <v>Guangdong Hanhe Non-Ferrous Metal Co., Ltd.</v>
      </c>
      <c r="S54" s="181" t="str">
        <f t="shared" ca="1" si="5"/>
        <v>CN</v>
      </c>
      <c r="T54" s="181" t="str">
        <f ca="1">IF(B54="","",IF(ISERROR(MATCH($J54,SorP!$B$1:$B$6226,0)),"",INDIRECT("'SorP'!$A$"&amp;MATCH($S54&amp;$J54,SorP!C:C,0))))</f>
        <v>CN-GD</v>
      </c>
      <c r="U54" s="201"/>
      <c r="V54" s="226">
        <f>IF(C54="",NA(),IF(OR(C54="Smelter not listed",C54="Smelter not yet identified"),MATCH($B54&amp;$D54,'Smelter Look-up'!$J:$J,0),MATCH($B54&amp;$C54,'Smelter Look-up'!$J:$J,0)))</f>
        <v>455</v>
      </c>
      <c r="X54" s="227">
        <f t="shared" si="6"/>
        <v>0</v>
      </c>
      <c r="AB54" s="228" t="str">
        <f t="shared" si="7"/>
        <v>TinGuangdong Hanhe Non-Ferrous Metal Co., Ltd.</v>
      </c>
    </row>
    <row r="55" spans="1:28" s="227" customFormat="1" ht="89.25">
      <c r="A55" s="398" t="s">
        <v>12908</v>
      </c>
      <c r="B55" s="399" t="s">
        <v>1120</v>
      </c>
      <c r="C55" s="403" t="s">
        <v>12907</v>
      </c>
      <c r="D55" s="406"/>
      <c r="E55" s="399" t="s">
        <v>1090</v>
      </c>
      <c r="F55" s="399" t="s">
        <v>12908</v>
      </c>
      <c r="G55" s="399" t="s">
        <v>13217</v>
      </c>
      <c r="H55" s="400">
        <v>0</v>
      </c>
      <c r="I55" s="401" t="s">
        <v>12925</v>
      </c>
      <c r="J55" s="401" t="s">
        <v>13579</v>
      </c>
      <c r="K55" s="404"/>
      <c r="L55" s="404"/>
      <c r="M55" s="404"/>
      <c r="N55" s="404"/>
      <c r="O55" s="404"/>
      <c r="P55" s="402"/>
      <c r="Q55" s="405"/>
      <c r="R55" s="182" t="str">
        <f ca="1">IF(ISERROR($V55),"",OFFSET('Smelter Look-up'!$C$4,$V55-4,0)&amp;"")</f>
        <v>Chifeng Dajingzi Tin Industry Co., Ltd.</v>
      </c>
      <c r="S55" s="181" t="str">
        <f t="shared" ca="1" si="5"/>
        <v>CN</v>
      </c>
      <c r="T55" s="181" t="str">
        <f ca="1">IF(B55="","",IF(ISERROR(MATCH($J55,SorP!$B$1:$B$6226,0)),"",INDIRECT("'SorP'!$A$"&amp;MATCH($S55&amp;$J55,SorP!C:C,0))))</f>
        <v>CN-NM</v>
      </c>
      <c r="U55" s="201"/>
      <c r="V55" s="226">
        <f>IF(C55="",NA(),IF(OR(C55="Smelter not listed",C55="Smelter not yet identified"),MATCH($B55&amp;$D55,'Smelter Look-up'!$J:$J,0),MATCH($B55&amp;$C55,'Smelter Look-up'!$J:$J,0)))</f>
        <v>412</v>
      </c>
      <c r="X55" s="227">
        <f t="shared" si="6"/>
        <v>0</v>
      </c>
      <c r="AB55" s="228" t="str">
        <f t="shared" si="7"/>
        <v>TinChifeng Dajingzi Tin Industry Co., Ltd.</v>
      </c>
    </row>
    <row r="56" spans="1:28" s="227" customFormat="1" ht="51">
      <c r="A56" s="398" t="s">
        <v>14001</v>
      </c>
      <c r="B56" s="399" t="s">
        <v>1120</v>
      </c>
      <c r="C56" s="403" t="s">
        <v>12914</v>
      </c>
      <c r="D56" s="406"/>
      <c r="E56" s="399" t="s">
        <v>1095</v>
      </c>
      <c r="F56" s="399" t="s">
        <v>14001</v>
      </c>
      <c r="G56" s="399" t="s">
        <v>13217</v>
      </c>
      <c r="H56" s="400">
        <v>0</v>
      </c>
      <c r="I56" s="401" t="s">
        <v>15113</v>
      </c>
      <c r="J56" s="401" t="s">
        <v>12830</v>
      </c>
      <c r="K56" s="404"/>
      <c r="L56" s="404"/>
      <c r="M56" s="404"/>
      <c r="N56" s="404"/>
      <c r="O56" s="404"/>
      <c r="P56" s="402"/>
      <c r="Q56" s="405"/>
      <c r="R56" s="182" t="str">
        <f ca="1">IF(ISERROR($V56),"",OFFSET('Smelter Look-up'!$C$4,$V56-4,0)&amp;"")</f>
        <v>PT Bangka Serumpun</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509</v>
      </c>
      <c r="X56" s="227">
        <f t="shared" si="6"/>
        <v>0</v>
      </c>
      <c r="AB56" s="228" t="str">
        <f t="shared" si="7"/>
        <v>TinPT Bangka Serumpun</v>
      </c>
    </row>
    <row r="57" spans="1:28" s="227" customFormat="1" ht="51">
      <c r="A57" s="398" t="s">
        <v>13161</v>
      </c>
      <c r="B57" s="399" t="s">
        <v>1120</v>
      </c>
      <c r="C57" s="403" t="s">
        <v>13160</v>
      </c>
      <c r="D57" s="406"/>
      <c r="E57" s="399" t="s">
        <v>2415</v>
      </c>
      <c r="F57" s="399" t="s">
        <v>13161</v>
      </c>
      <c r="G57" s="399" t="s">
        <v>13217</v>
      </c>
      <c r="H57" s="400">
        <v>0</v>
      </c>
      <c r="I57" s="401" t="s">
        <v>13162</v>
      </c>
      <c r="J57" s="401" t="s">
        <v>1725</v>
      </c>
      <c r="K57" s="404"/>
      <c r="L57" s="404"/>
      <c r="M57" s="404"/>
      <c r="N57" s="404"/>
      <c r="O57" s="404"/>
      <c r="P57" s="402"/>
      <c r="Q57" s="405"/>
      <c r="R57" s="182" t="str">
        <f ca="1">IF(ISERROR($V57),"",OFFSET('Smelter Look-up'!$C$4,$V57-4,0)&amp;"")</f>
        <v>Tin Technology &amp; Refining</v>
      </c>
      <c r="S57" s="181" t="str">
        <f t="shared" ca="1" si="5"/>
        <v>US</v>
      </c>
      <c r="T57" s="181" t="str">
        <f ca="1">IF(B57="","",IF(ISERROR(MATCH($J57,SorP!$B$1:$B$6226,0)),"",INDIRECT("'SorP'!$A$"&amp;MATCH($S57&amp;$J57,SorP!C:C,0))))</f>
        <v>US-PA</v>
      </c>
      <c r="U57" s="201"/>
      <c r="V57" s="226">
        <f>IF(C57="",NA(),IF(OR(C57="Smelter not listed",C57="Smelter not yet identified"),MATCH($B57&amp;$D57,'Smelter Look-up'!$J:$J,0),MATCH($B57&amp;$C57,'Smelter Look-up'!$J:$J,0)))</f>
        <v>551</v>
      </c>
      <c r="X57" s="227">
        <f t="shared" si="6"/>
        <v>0</v>
      </c>
      <c r="AB57" s="228" t="str">
        <f t="shared" si="7"/>
        <v>TinTin Technology &amp; Refining</v>
      </c>
    </row>
    <row r="58" spans="1:28" s="227" customFormat="1" ht="51">
      <c r="A58" s="398" t="s">
        <v>15082</v>
      </c>
      <c r="B58" s="399" t="s">
        <v>1120</v>
      </c>
      <c r="C58" s="403" t="s">
        <v>15081</v>
      </c>
      <c r="D58" s="406"/>
      <c r="E58" s="399" t="s">
        <v>1095</v>
      </c>
      <c r="F58" s="399" t="s">
        <v>15082</v>
      </c>
      <c r="G58" s="399" t="s">
        <v>13217</v>
      </c>
      <c r="H58" s="400">
        <v>0</v>
      </c>
      <c r="I58" s="401" t="s">
        <v>15115</v>
      </c>
      <c r="J58" s="401" t="s">
        <v>12830</v>
      </c>
      <c r="K58" s="404"/>
      <c r="L58" s="404"/>
      <c r="M58" s="404"/>
      <c r="N58" s="404"/>
      <c r="O58" s="404"/>
      <c r="P58" s="402"/>
      <c r="Q58" s="405"/>
      <c r="R58" s="182" t="str">
        <f ca="1">IF(ISERROR($V58),"",OFFSET('Smelter Look-up'!$C$4,$V58-4,0)&amp;"")</f>
        <v>PT Rajawali Rimba Perkasa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524</v>
      </c>
      <c r="X58" s="227">
        <f t="shared" si="6"/>
        <v>0</v>
      </c>
      <c r="AB58" s="228" t="str">
        <f t="shared" si="7"/>
        <v>TinPT Rajawali Rimba Perkasa</v>
      </c>
    </row>
    <row r="59" spans="1:28" s="227" customFormat="1" ht="63.75">
      <c r="A59" s="398" t="s">
        <v>13841</v>
      </c>
      <c r="B59" s="399" t="s">
        <v>1120</v>
      </c>
      <c r="C59" s="403" t="s">
        <v>13827</v>
      </c>
      <c r="D59" s="406"/>
      <c r="E59" s="399" t="s">
        <v>1095</v>
      </c>
      <c r="F59" s="399" t="s">
        <v>13841</v>
      </c>
      <c r="G59" s="399" t="s">
        <v>13217</v>
      </c>
      <c r="H59" s="400">
        <v>0</v>
      </c>
      <c r="I59" s="401" t="s">
        <v>15113</v>
      </c>
      <c r="J59" s="401" t="s">
        <v>12830</v>
      </c>
      <c r="K59" s="404"/>
      <c r="L59" s="404"/>
      <c r="M59" s="404"/>
      <c r="N59" s="404"/>
      <c r="O59" s="404"/>
      <c r="P59" s="402"/>
      <c r="Q59" s="405"/>
      <c r="R59" s="182" t="str">
        <f ca="1">IF(ISERROR($V59),"",OFFSET('Smelter Look-up'!$C$4,$V59-4,0)&amp;"")</f>
        <v>PT Mitra Sukses Globalindo</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519</v>
      </c>
      <c r="X59" s="227">
        <f t="shared" si="6"/>
        <v>0</v>
      </c>
      <c r="AB59" s="228" t="str">
        <f t="shared" si="7"/>
        <v>TinPT Mitra Sukses Globalindo</v>
      </c>
    </row>
    <row r="60" spans="1:28" s="227" customFormat="1" ht="38.25">
      <c r="A60" s="398" t="s">
        <v>15060</v>
      </c>
      <c r="B60" s="399" t="s">
        <v>1120</v>
      </c>
      <c r="C60" s="403" t="s">
        <v>15059</v>
      </c>
      <c r="D60" s="406"/>
      <c r="E60" s="399" t="s">
        <v>1092</v>
      </c>
      <c r="F60" s="399" t="s">
        <v>15060</v>
      </c>
      <c r="G60" s="399" t="s">
        <v>13217</v>
      </c>
      <c r="H60" s="400">
        <v>0</v>
      </c>
      <c r="I60" s="401" t="s">
        <v>3633</v>
      </c>
      <c r="J60" s="401" t="s">
        <v>3633</v>
      </c>
      <c r="K60" s="404"/>
      <c r="L60" s="404"/>
      <c r="M60" s="404"/>
      <c r="N60" s="404"/>
      <c r="O60" s="404"/>
      <c r="P60" s="402"/>
      <c r="Q60" s="405"/>
      <c r="R60" s="182" t="str">
        <f ca="1">IF(ISERROR($V60),"",OFFSET('Smelter Look-up'!$C$4,$V60-4,0)&amp;"")</f>
        <v>CRM Synergies</v>
      </c>
      <c r="S60" s="181" t="str">
        <f t="shared" ca="1" si="5"/>
        <v>ES</v>
      </c>
      <c r="T60" s="181" t="str">
        <f ca="1">IF(B60="","",IF(ISERROR(MATCH($J60,SorP!$B$1:$B$6226,0)),"",INDIRECT("'SorP'!$A$"&amp;MATCH($S60&amp;$J60,SorP!C:C,0))))</f>
        <v>ES-TO</v>
      </c>
      <c r="U60" s="201"/>
      <c r="V60" s="226">
        <f>IF(C60="",NA(),IF(OR(C60="Smelter not listed",C60="Smelter not yet identified"),MATCH($B60&amp;$D60,'Smelter Look-up'!$J:$J,0),MATCH($B60&amp;$C60,'Smelter Look-up'!$J:$J,0)))</f>
        <v>422</v>
      </c>
      <c r="X60" s="227">
        <f t="shared" si="6"/>
        <v>0</v>
      </c>
      <c r="AB60" s="228" t="str">
        <f t="shared" si="7"/>
        <v>TinCRM Synergies</v>
      </c>
    </row>
    <row r="61" spans="1:28" s="227" customFormat="1" ht="102">
      <c r="A61" s="398" t="s">
        <v>15068</v>
      </c>
      <c r="B61" s="399" t="s">
        <v>1120</v>
      </c>
      <c r="C61" s="403" t="s">
        <v>15067</v>
      </c>
      <c r="D61" s="406"/>
      <c r="E61" s="399" t="s">
        <v>1086</v>
      </c>
      <c r="F61" s="399" t="s">
        <v>15068</v>
      </c>
      <c r="G61" s="399" t="s">
        <v>13217</v>
      </c>
      <c r="H61" s="400">
        <v>0</v>
      </c>
      <c r="I61" s="401" t="s">
        <v>15110</v>
      </c>
      <c r="J61" s="401" t="s">
        <v>1666</v>
      </c>
      <c r="K61" s="404"/>
      <c r="L61" s="404"/>
      <c r="M61" s="404"/>
      <c r="N61" s="404"/>
      <c r="O61" s="404"/>
      <c r="P61" s="402"/>
      <c r="Q61" s="405"/>
      <c r="R61" s="182" t="str">
        <f ca="1">IF(ISERROR($V61),"",OFFSET('Smelter Look-up'!$C$4,$V61-4,0)&amp;"")</f>
        <v>Fabrica Auricchio Industria e Comercio Ltda.</v>
      </c>
      <c r="S61" s="181" t="str">
        <f t="shared" ca="1" si="5"/>
        <v>BR</v>
      </c>
      <c r="T61" s="181" t="str">
        <f ca="1">IF(B61="","",IF(ISERROR(MATCH($J61,SorP!$B$1:$B$6226,0)),"",INDIRECT("'SorP'!$A$"&amp;MATCH($S61&amp;$J61,SorP!C:C,0))))</f>
        <v>BR-SP</v>
      </c>
      <c r="U61" s="201"/>
      <c r="V61" s="226">
        <f>IF(C61="",NA(),IF(OR(C61="Smelter not listed",C61="Smelter not yet identified"),MATCH($B61&amp;$D61,'Smelter Look-up'!$J:$J,0),MATCH($B61&amp;$C61,'Smelter Look-up'!$J:$J,0)))</f>
        <v>441</v>
      </c>
      <c r="X61" s="227">
        <f t="shared" si="6"/>
        <v>0</v>
      </c>
      <c r="AB61" s="228" t="str">
        <f t="shared" si="7"/>
        <v>TinFabrica Auricchio Industria e Comercio Ltda.</v>
      </c>
    </row>
    <row r="62" spans="1:28" s="227" customFormat="1" ht="20.25">
      <c r="A62" s="181"/>
      <c r="B62" s="182"/>
      <c r="C62" s="186"/>
      <c r="D62" s="230"/>
      <c r="E62" s="182"/>
      <c r="F62" s="182"/>
      <c r="G62" s="182"/>
      <c r="H62" s="183"/>
      <c r="I62" s="184"/>
      <c r="J62" s="184"/>
      <c r="K62" s="224"/>
      <c r="L62" s="224"/>
      <c r="M62" s="224"/>
      <c r="N62" s="224"/>
      <c r="O62" s="224"/>
      <c r="P62" s="185"/>
      <c r="Q62" s="225"/>
      <c r="R62" s="182"/>
      <c r="S62" s="181"/>
      <c r="T62" s="181"/>
      <c r="U62" s="201"/>
      <c r="V62" s="226"/>
      <c r="AB62" s="228"/>
    </row>
    <row r="63" spans="1:28" s="227" customFormat="1" ht="25.5">
      <c r="A63" s="413" t="s">
        <v>15871</v>
      </c>
      <c r="B63" s="408" t="s">
        <v>1119</v>
      </c>
      <c r="C63" s="411" t="s">
        <v>1217</v>
      </c>
      <c r="D63" s="412"/>
      <c r="E63" s="408" t="s">
        <v>2415</v>
      </c>
      <c r="F63" s="408" t="s">
        <v>15871</v>
      </c>
      <c r="G63" s="408" t="s">
        <v>13217</v>
      </c>
      <c r="H63" s="409">
        <v>0</v>
      </c>
      <c r="I63" s="410" t="s">
        <v>1616</v>
      </c>
      <c r="J63" s="410" t="s">
        <v>1617</v>
      </c>
      <c r="K63" s="224"/>
      <c r="L63" s="224"/>
      <c r="M63" s="224"/>
      <c r="N63" s="224"/>
      <c r="O63" s="224"/>
      <c r="P63" s="185"/>
      <c r="Q63" s="225"/>
      <c r="R63" s="182"/>
      <c r="S63" s="181"/>
      <c r="T63" s="181"/>
      <c r="U63" s="201"/>
      <c r="V63" s="226"/>
      <c r="AB63" s="228"/>
    </row>
    <row r="64" spans="1:28" s="227" customFormat="1" ht="51">
      <c r="A64" s="413" t="s">
        <v>718</v>
      </c>
      <c r="B64" s="408" t="s">
        <v>1119</v>
      </c>
      <c r="C64" s="411" t="s">
        <v>903</v>
      </c>
      <c r="D64" s="412"/>
      <c r="E64" s="408" t="s">
        <v>1087</v>
      </c>
      <c r="F64" s="408" t="s">
        <v>718</v>
      </c>
      <c r="G64" s="408" t="s">
        <v>13217</v>
      </c>
      <c r="H64" s="409">
        <v>0</v>
      </c>
      <c r="I64" s="410" t="s">
        <v>1637</v>
      </c>
      <c r="J64" s="410" t="s">
        <v>1595</v>
      </c>
      <c r="K64" s="224"/>
      <c r="L64" s="224"/>
      <c r="M64" s="224"/>
      <c r="N64" s="224"/>
      <c r="O64" s="224"/>
      <c r="P64" s="185"/>
      <c r="Q64" s="225"/>
      <c r="R64" s="182" t="str">
        <f ca="1">IF(ISERROR($V64),"",OFFSET('Smelter Look-up'!$C$4,$V64-4,0)&amp;"")</f>
        <v>Royal Canadian Mint</v>
      </c>
      <c r="S64" s="181" t="str">
        <f t="shared" ca="1" si="5"/>
        <v>CA</v>
      </c>
      <c r="T64" s="181" t="str">
        <f ca="1">IF(B64="","",IF(ISERROR(MATCH($J64,SorP!$B$1:$B$6226,0)),"",INDIRECT("'SorP'!$A$"&amp;MATCH($S64&amp;$J64,SorP!C:C,0))))</f>
        <v>CA-ON</v>
      </c>
      <c r="U64" s="201"/>
      <c r="V64" s="226">
        <f>IF(C64="",NA(),IF(OR(C64="Smelter not listed",C64="Smelter not yet identified"),MATCH($B64&amp;$D64,'Smelter Look-up'!$J:$J,0),MATCH($B64&amp;$C64,'Smelter Look-up'!$J:$J,0)))</f>
        <v>232</v>
      </c>
      <c r="X64" s="227">
        <f t="shared" si="6"/>
        <v>0</v>
      </c>
      <c r="AB64" s="228" t="str">
        <f t="shared" si="7"/>
        <v>GoldRoyal Canadian Mint</v>
      </c>
    </row>
    <row r="65" spans="1:28" s="227" customFormat="1" ht="25.5">
      <c r="A65" s="413" t="s">
        <v>768</v>
      </c>
      <c r="B65" s="408" t="s">
        <v>1120</v>
      </c>
      <c r="C65" s="411" t="s">
        <v>1024</v>
      </c>
      <c r="D65" s="412"/>
      <c r="E65" s="408" t="s">
        <v>870</v>
      </c>
      <c r="F65" s="408" t="s">
        <v>768</v>
      </c>
      <c r="G65" s="408" t="s">
        <v>13217</v>
      </c>
      <c r="H65" s="409">
        <v>0</v>
      </c>
      <c r="I65" s="410" t="s">
        <v>1771</v>
      </c>
      <c r="J65" s="410" t="s">
        <v>9093</v>
      </c>
      <c r="K65" s="224"/>
      <c r="L65" s="224"/>
      <c r="M65" s="224"/>
      <c r="N65" s="224"/>
      <c r="O65" s="224"/>
      <c r="P65" s="185"/>
      <c r="Q65" s="225"/>
      <c r="R65" s="182" t="str">
        <f ca="1">IF(ISERROR($V65),"",OFFSET('Smelter Look-up'!$C$4,$V65-4,0)&amp;"")</f>
        <v>Minsur</v>
      </c>
      <c r="S65" s="181" t="str">
        <f t="shared" ca="1" si="5"/>
        <v>PE</v>
      </c>
      <c r="T65" s="181" t="str">
        <f ca="1">IF(B65="","",IF(ISERROR(MATCH($J65,SorP!$B$1:$B$6226,0)),"",INDIRECT("'SorP'!$A$"&amp;MATCH($S65&amp;$J65,SorP!C:C,0))))</f>
        <v>PE-ICA</v>
      </c>
      <c r="U65" s="201"/>
      <c r="V65" s="226">
        <f>IF(C65="",NA(),IF(OR(C65="Smelter not listed",C65="Smelter not yet identified"),MATCH($B65&amp;$D65,'Smelter Look-up'!$J:$J,0),MATCH($B65&amp;$C65,'Smelter Look-up'!$J:$J,0)))</f>
        <v>487</v>
      </c>
      <c r="X65" s="227">
        <f t="shared" si="6"/>
        <v>0</v>
      </c>
      <c r="AB65" s="228" t="str">
        <f t="shared" si="7"/>
        <v>TinMinsur</v>
      </c>
    </row>
    <row r="66" spans="1:28" s="227" customFormat="1" ht="20.25">
      <c r="A66" s="181"/>
      <c r="B66" s="182"/>
      <c r="C66" s="186"/>
      <c r="D66" s="230"/>
      <c r="E66" s="182"/>
      <c r="F66" s="182"/>
      <c r="G66" s="182"/>
      <c r="H66" s="183"/>
      <c r="I66" s="184"/>
      <c r="J66" s="184"/>
      <c r="K66" s="224"/>
      <c r="L66" s="224"/>
      <c r="M66" s="224"/>
      <c r="N66" s="224"/>
      <c r="O66" s="224"/>
      <c r="P66" s="185"/>
      <c r="Q66" s="225"/>
      <c r="R66" s="182"/>
      <c r="S66" s="181"/>
      <c r="T66" s="181"/>
      <c r="U66" s="201"/>
      <c r="V66" s="226"/>
      <c r="AB66" s="228"/>
    </row>
    <row r="67" spans="1:28" s="227" customFormat="1" ht="20.25">
      <c r="A67" s="419" t="s">
        <v>767</v>
      </c>
      <c r="B67" s="414" t="s">
        <v>1120</v>
      </c>
      <c r="C67" s="417" t="s">
        <v>12408</v>
      </c>
      <c r="D67" s="418"/>
      <c r="E67" s="414" t="s">
        <v>1086</v>
      </c>
      <c r="F67" s="414" t="s">
        <v>767</v>
      </c>
      <c r="G67" s="414" t="s">
        <v>13217</v>
      </c>
      <c r="H67" s="415">
        <v>0</v>
      </c>
      <c r="I67" s="416" t="s">
        <v>1769</v>
      </c>
      <c r="J67" s="416" t="s">
        <v>1666</v>
      </c>
      <c r="K67" s="224"/>
      <c r="L67" s="224"/>
      <c r="M67" s="224"/>
      <c r="N67" s="224"/>
      <c r="O67" s="224"/>
      <c r="P67" s="185"/>
      <c r="Q67" s="225"/>
      <c r="R67" s="182"/>
      <c r="S67" s="181"/>
      <c r="T67" s="181"/>
      <c r="U67" s="201"/>
      <c r="V67" s="226"/>
      <c r="AB67" s="228"/>
    </row>
    <row r="68" spans="1:28" s="227" customFormat="1" ht="76.5">
      <c r="A68" s="419" t="s">
        <v>766</v>
      </c>
      <c r="B68" s="414" t="s">
        <v>1120</v>
      </c>
      <c r="C68" s="417" t="s">
        <v>811</v>
      </c>
      <c r="D68" s="418"/>
      <c r="E68" s="414" t="s">
        <v>1105</v>
      </c>
      <c r="F68" s="414" t="s">
        <v>766</v>
      </c>
      <c r="G68" s="414" t="s">
        <v>13217</v>
      </c>
      <c r="H68" s="415">
        <v>0</v>
      </c>
      <c r="I68" s="416" t="s">
        <v>1766</v>
      </c>
      <c r="J68" s="416" t="s">
        <v>8666</v>
      </c>
      <c r="K68" s="224"/>
      <c r="L68" s="224"/>
      <c r="M68" s="224"/>
      <c r="N68" s="224"/>
      <c r="O68" s="224"/>
      <c r="P68" s="185"/>
      <c r="Q68" s="225"/>
      <c r="R68" s="182" t="str">
        <f ca="1">IF(ISERROR($V68),"",OFFSET('Smelter Look-up'!$C$4,$V68-4,0)&amp;"")</f>
        <v>Malaysia Smelting Corporation (MSC)</v>
      </c>
      <c r="S68" s="181" t="str">
        <f t="shared" ca="1" si="5"/>
        <v>MY</v>
      </c>
      <c r="T68" s="181" t="str">
        <f ca="1">IF(B68="","",IF(ISERROR(MATCH($J68,SorP!$B$1:$B$6226,0)),"",INDIRECT("'SorP'!$A$"&amp;MATCH($S68&amp;$J68,SorP!C:C,0))))</f>
        <v>MY-07</v>
      </c>
      <c r="U68" s="201"/>
      <c r="V68" s="226">
        <f>IF(C68="",NA(),IF(OR(C68="Smelter not listed",C68="Smelter not yet identified"),MATCH($B68&amp;$D68,'Smelter Look-up'!$J:$J,0),MATCH($B68&amp;$C68,'Smelter Look-up'!$J:$J,0)))</f>
        <v>474</v>
      </c>
      <c r="X68" s="227">
        <f t="shared" si="6"/>
        <v>0</v>
      </c>
      <c r="AB68" s="228" t="str">
        <f t="shared" si="7"/>
        <v>TinMalaysia Smelting Corporation (MSC)</v>
      </c>
    </row>
    <row r="69" spans="1:28" s="227" customFormat="1" ht="25.5">
      <c r="A69" s="419" t="s">
        <v>779</v>
      </c>
      <c r="B69" s="414" t="s">
        <v>1120</v>
      </c>
      <c r="C69" s="417" t="s">
        <v>1021</v>
      </c>
      <c r="D69" s="418"/>
      <c r="E69" s="414" t="s">
        <v>878</v>
      </c>
      <c r="F69" s="414" t="s">
        <v>779</v>
      </c>
      <c r="G69" s="414" t="s">
        <v>13217</v>
      </c>
      <c r="H69" s="415">
        <v>0</v>
      </c>
      <c r="I69" s="416" t="s">
        <v>1781</v>
      </c>
      <c r="J69" s="416" t="s">
        <v>1782</v>
      </c>
      <c r="K69" s="224"/>
      <c r="L69" s="224"/>
      <c r="M69" s="224"/>
      <c r="N69" s="224"/>
      <c r="O69" s="224"/>
      <c r="P69" s="185"/>
      <c r="Q69" s="225"/>
      <c r="R69" s="182" t="str">
        <f ca="1">IF(ISERROR($V69),"",OFFSET('Smelter Look-up'!$C$4,$V69-4,0)&amp;"")</f>
        <v>Thaisarco</v>
      </c>
      <c r="S69" s="181" t="str">
        <f t="shared" ref="S69" ca="1" si="8">IF(B69="","",IF(ISERROR(MATCH($E69,CL,0)),"Unknown",INDIRECT("'C'!$A$"&amp;MATCH($E69,CL,0)+1)))</f>
        <v>TH</v>
      </c>
      <c r="T69" s="181" t="str">
        <f ca="1">IF(B69="","",IF(ISERROR(MATCH($J69,SorP!$B$1:$B$6226,0)),"",INDIRECT("'SorP'!$A$"&amp;MATCH($S69&amp;$J69,SorP!C:C,0))))</f>
        <v>TH-83</v>
      </c>
      <c r="U69" s="201"/>
      <c r="V69" s="226">
        <f>IF(C69="",NA(),IF(OR(C69="Smelter not listed",C69="Smelter not yet identified"),MATCH($B69&amp;$D69,'Smelter Look-up'!$J:$J,0),MATCH($B69&amp;$C69,'Smelter Look-up'!$J:$J,0)))</f>
        <v>547</v>
      </c>
      <c r="X69" s="227">
        <f t="shared" ref="X69" si="9">IF(AND(C69="Smelter not listed",OR(LEN(D69)=0,LEN(E69)=0)),1,0)</f>
        <v>0</v>
      </c>
      <c r="AB69" s="228" t="str">
        <f t="shared" ref="AB69" si="10">B69&amp;C69</f>
        <v>TinThaisarco</v>
      </c>
    </row>
    <row r="70" spans="1:28" s="227" customFormat="1" ht="51">
      <c r="A70" s="419" t="s">
        <v>794</v>
      </c>
      <c r="B70" s="414" t="s">
        <v>1120</v>
      </c>
      <c r="C70" s="417" t="s">
        <v>13779</v>
      </c>
      <c r="D70" s="418"/>
      <c r="E70" s="414" t="s">
        <v>1095</v>
      </c>
      <c r="F70" s="414" t="s">
        <v>794</v>
      </c>
      <c r="G70" s="414" t="s">
        <v>13217</v>
      </c>
      <c r="H70" s="415">
        <v>0</v>
      </c>
      <c r="I70" s="416" t="s">
        <v>1778</v>
      </c>
      <c r="J70" s="416" t="s">
        <v>6047</v>
      </c>
      <c r="K70" s="224" t="s">
        <v>15864</v>
      </c>
      <c r="L70" s="224" t="s">
        <v>15865</v>
      </c>
      <c r="M70" s="224"/>
      <c r="N70" s="224" t="s">
        <v>15866</v>
      </c>
      <c r="O70" s="224" t="s">
        <v>15866</v>
      </c>
      <c r="P70" s="185" t="s">
        <v>485</v>
      </c>
      <c r="Q70" s="225" t="s">
        <v>15867</v>
      </c>
      <c r="R70" s="182" t="str">
        <f ca="1">IF(ISERROR($V70),"",OFFSET('Smelter Look-up'!$C$4,$V70-4,0)&amp;"")</f>
        <v>PT Timah Tbk Kundur</v>
      </c>
      <c r="S70" s="181" t="str">
        <f t="shared" ref="S70:S101" ca="1" si="11">IF(B70="","",IF(ISERROR(MATCH($E70,CL,0)),"Unknown",INDIRECT("'C'!$A$"&amp;MATCH($E70,CL,0)+1)))</f>
        <v>ID</v>
      </c>
      <c r="T70" s="181" t="str">
        <f ca="1">IF(B70="","",IF(ISERROR(MATCH($J70,SorP!$B$1:$B$6226,0)),"",INDIRECT("'SorP'!$A$"&amp;MATCH($S70&amp;$J70,SorP!C:C,0))))</f>
        <v>ID-RI</v>
      </c>
      <c r="U70" s="201"/>
      <c r="V70" s="226">
        <f>IF(C70="",NA(),IF(OR(C70="Smelter not listed",C70="Smelter not yet identified"),MATCH($B70&amp;$D70,'Smelter Look-up'!$J:$J,0),MATCH($B70&amp;$C70,'Smelter Look-up'!$J:$J,0)))</f>
        <v>532</v>
      </c>
      <c r="X70" s="227">
        <f t="shared" ref="X70:X101" si="12">IF(AND(C70="Smelter not listed",OR(LEN(D70)=0,LEN(E70)=0)),1,0)</f>
        <v>0</v>
      </c>
      <c r="AB70" s="228" t="str">
        <f t="shared" ref="AB70:AB101" si="13">B70&amp;C70</f>
        <v>TinPT Timah Tbk Kundur</v>
      </c>
    </row>
    <row r="71" spans="1:28" s="227" customFormat="1" ht="51">
      <c r="A71" s="419" t="s">
        <v>776</v>
      </c>
      <c r="B71" s="414" t="s">
        <v>1120</v>
      </c>
      <c r="C71" s="417" t="s">
        <v>13778</v>
      </c>
      <c r="D71" s="418"/>
      <c r="E71" s="414" t="s">
        <v>1095</v>
      </c>
      <c r="F71" s="414" t="s">
        <v>776</v>
      </c>
      <c r="G71" s="414" t="s">
        <v>13217</v>
      </c>
      <c r="H71" s="415">
        <v>0</v>
      </c>
      <c r="I71" s="416" t="s">
        <v>1780</v>
      </c>
      <c r="J71" s="416" t="s">
        <v>12830</v>
      </c>
      <c r="K71" s="224"/>
      <c r="L71" s="224"/>
      <c r="M71" s="224"/>
      <c r="N71" s="224"/>
      <c r="O71" s="224"/>
      <c r="P71" s="185"/>
      <c r="Q71" s="225"/>
      <c r="R71" s="182" t="str">
        <f ca="1">IF(ISERROR($V71),"",OFFSET('Smelter Look-up'!$C$4,$V71-4,0)&amp;"")</f>
        <v>PT Timah Tbk Mentok</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533</v>
      </c>
      <c r="X71" s="227">
        <f t="shared" si="12"/>
        <v>0</v>
      </c>
      <c r="AB71" s="228" t="str">
        <f t="shared" si="13"/>
        <v>TinPT Timah Tbk Mentok</v>
      </c>
    </row>
    <row r="72" spans="1:28" s="227" customFormat="1" ht="38.25">
      <c r="A72" s="419" t="s">
        <v>1801</v>
      </c>
      <c r="B72" s="414" t="s">
        <v>1120</v>
      </c>
      <c r="C72" s="417" t="s">
        <v>15496</v>
      </c>
      <c r="D72" s="418"/>
      <c r="E72" s="414" t="s">
        <v>1085</v>
      </c>
      <c r="F72" s="414" t="s">
        <v>1801</v>
      </c>
      <c r="G72" s="414" t="s">
        <v>13217</v>
      </c>
      <c r="H72" s="415">
        <v>0</v>
      </c>
      <c r="I72" s="416" t="s">
        <v>1802</v>
      </c>
      <c r="J72" s="416" t="s">
        <v>3135</v>
      </c>
      <c r="K72" s="224"/>
      <c r="L72" s="224"/>
      <c r="M72" s="224"/>
      <c r="N72" s="224"/>
      <c r="O72" s="224"/>
      <c r="P72" s="185"/>
      <c r="Q72" s="225"/>
      <c r="R72" s="182" t="str">
        <f ca="1">IF(ISERROR($V72),"",OFFSET('Smelter Look-up'!$C$4,$V72-4,0)&amp;"")</f>
        <v>Aurubis Beerse</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405</v>
      </c>
      <c r="X72" s="227">
        <f t="shared" si="12"/>
        <v>0</v>
      </c>
      <c r="AB72" s="228" t="str">
        <f t="shared" si="13"/>
        <v>TinAurubis Beerse</v>
      </c>
    </row>
    <row r="73" spans="1:28" s="227" customFormat="1" ht="25.5">
      <c r="A73" s="419" t="s">
        <v>768</v>
      </c>
      <c r="B73" s="414" t="s">
        <v>1120</v>
      </c>
      <c r="C73" s="417" t="s">
        <v>1024</v>
      </c>
      <c r="D73" s="418"/>
      <c r="E73" s="414" t="s">
        <v>870</v>
      </c>
      <c r="F73" s="414" t="s">
        <v>768</v>
      </c>
      <c r="G73" s="414" t="s">
        <v>13217</v>
      </c>
      <c r="H73" s="415">
        <v>0</v>
      </c>
      <c r="I73" s="416" t="s">
        <v>1771</v>
      </c>
      <c r="J73" s="416" t="s">
        <v>9093</v>
      </c>
      <c r="K73" s="224"/>
      <c r="L73" s="224"/>
      <c r="M73" s="224"/>
      <c r="N73" s="224"/>
      <c r="O73" s="224"/>
      <c r="P73" s="185"/>
      <c r="Q73" s="225"/>
      <c r="R73" s="182" t="str">
        <f ca="1">IF(ISERROR($V73),"",OFFSET('Smelter Look-up'!$C$4,$V73-4,0)&amp;"")</f>
        <v>Minsur</v>
      </c>
      <c r="S73" s="181" t="str">
        <f t="shared" ca="1" si="11"/>
        <v>PE</v>
      </c>
      <c r="T73" s="181" t="str">
        <f ca="1">IF(B73="","",IF(ISERROR(MATCH($J73,SorP!$B$1:$B$6226,0)),"",INDIRECT("'SorP'!$A$"&amp;MATCH($S73&amp;$J73,SorP!C:C,0))))</f>
        <v>PE-ICA</v>
      </c>
      <c r="U73" s="201"/>
      <c r="V73" s="226">
        <f>IF(C73="",NA(),IF(OR(C73="Smelter not listed",C73="Smelter not yet identified"),MATCH($B73&amp;$D73,'Smelter Look-up'!$J:$J,0),MATCH($B73&amp;$C73,'Smelter Look-up'!$J:$J,0)))</f>
        <v>487</v>
      </c>
      <c r="X73" s="227">
        <f t="shared" si="12"/>
        <v>0</v>
      </c>
      <c r="AB73" s="228" t="str">
        <f t="shared" si="13"/>
        <v>TinMinsur</v>
      </c>
    </row>
    <row r="74" spans="1:28" s="227" customFormat="1" ht="51">
      <c r="A74" s="419" t="s">
        <v>13161</v>
      </c>
      <c r="B74" s="414" t="s">
        <v>1120</v>
      </c>
      <c r="C74" s="417" t="s">
        <v>13160</v>
      </c>
      <c r="D74" s="418"/>
      <c r="E74" s="414" t="s">
        <v>2415</v>
      </c>
      <c r="F74" s="414" t="s">
        <v>13161</v>
      </c>
      <c r="G74" s="414" t="s">
        <v>13217</v>
      </c>
      <c r="H74" s="415">
        <v>0</v>
      </c>
      <c r="I74" s="416" t="s">
        <v>13162</v>
      </c>
      <c r="J74" s="416" t="s">
        <v>1725</v>
      </c>
      <c r="K74" s="224"/>
      <c r="L74" s="224"/>
      <c r="M74" s="224"/>
      <c r="N74" s="224"/>
      <c r="O74" s="224"/>
      <c r="P74" s="185"/>
      <c r="Q74" s="225"/>
      <c r="R74" s="182" t="str">
        <f ca="1">IF(ISERROR($V74),"",OFFSET('Smelter Look-up'!$C$4,$V74-4,0)&amp;"")</f>
        <v>Tin Technology &amp; Refining</v>
      </c>
      <c r="S74" s="181" t="str">
        <f t="shared" ca="1" si="11"/>
        <v>US</v>
      </c>
      <c r="T74" s="181" t="str">
        <f ca="1">IF(B74="","",IF(ISERROR(MATCH($J74,SorP!$B$1:$B$6226,0)),"",INDIRECT("'SorP'!$A$"&amp;MATCH($S74&amp;$J74,SorP!C:C,0))))</f>
        <v>US-PA</v>
      </c>
      <c r="U74" s="201"/>
      <c r="V74" s="226">
        <f>IF(C74="",NA(),IF(OR(C74="Smelter not listed",C74="Smelter not yet identified"),MATCH($B74&amp;$D74,'Smelter Look-up'!$J:$J,0),MATCH($B74&amp;$C74,'Smelter Look-up'!$J:$J,0)))</f>
        <v>551</v>
      </c>
      <c r="X74" s="227">
        <f t="shared" si="12"/>
        <v>0</v>
      </c>
      <c r="AB74" s="228" t="str">
        <f t="shared" si="13"/>
        <v>TinTin Technology &amp; Refining</v>
      </c>
    </row>
    <row r="75" spans="1:28" s="227" customFormat="1" ht="51">
      <c r="A75" s="419" t="s">
        <v>775</v>
      </c>
      <c r="B75" s="414" t="s">
        <v>1120</v>
      </c>
      <c r="C75" s="417" t="s">
        <v>2141</v>
      </c>
      <c r="D75" s="418"/>
      <c r="E75" s="414" t="s">
        <v>1095</v>
      </c>
      <c r="F75" s="414" t="s">
        <v>775</v>
      </c>
      <c r="G75" s="414" t="s">
        <v>13217</v>
      </c>
      <c r="H75" s="415">
        <v>0</v>
      </c>
      <c r="I75" s="416" t="s">
        <v>1753</v>
      </c>
      <c r="J75" s="416" t="s">
        <v>12830</v>
      </c>
      <c r="K75" s="224"/>
      <c r="L75" s="224"/>
      <c r="M75" s="224"/>
      <c r="N75" s="224"/>
      <c r="O75" s="224"/>
      <c r="P75" s="185"/>
      <c r="Q75" s="225"/>
      <c r="R75" s="182" t="str">
        <f ca="1">IF(ISERROR($V75),"",OFFSET('Smelter Look-up'!$C$4,$V75-4,0)&amp;"")</f>
        <v>PT Refined Bangka Tin</v>
      </c>
      <c r="S75" s="181" t="str">
        <f t="shared" ca="1" si="11"/>
        <v>ID</v>
      </c>
      <c r="T75" s="181" t="str">
        <f ca="1">IF(B75="","",IF(ISERROR(MATCH($J75,SorP!$B$1:$B$6226,0)),"",INDIRECT("'SorP'!$A$"&amp;MATCH($S75&amp;$J75,SorP!C:C,0))))</f>
        <v>ID-BB</v>
      </c>
      <c r="U75" s="201"/>
      <c r="V75" s="226">
        <f>IF(C75="",NA(),IF(OR(C75="Smelter not listed",C75="Smelter not yet identified"),MATCH($B75&amp;$D75,'Smelter Look-up'!$J:$J,0),MATCH($B75&amp;$C75,'Smelter Look-up'!$J:$J,0)))</f>
        <v>526</v>
      </c>
      <c r="X75" s="227">
        <f t="shared" si="12"/>
        <v>0</v>
      </c>
      <c r="AB75" s="228" t="str">
        <f t="shared" si="13"/>
        <v>TinPT Refined Bangka Tin</v>
      </c>
    </row>
    <row r="76" spans="1:28" s="227" customFormat="1" ht="38.25">
      <c r="A76" s="419" t="s">
        <v>759</v>
      </c>
      <c r="B76" s="414" t="s">
        <v>1120</v>
      </c>
      <c r="C76" s="417" t="s">
        <v>832</v>
      </c>
      <c r="D76" s="418"/>
      <c r="E76" s="414" t="s">
        <v>2413</v>
      </c>
      <c r="F76" s="414" t="s">
        <v>759</v>
      </c>
      <c r="G76" s="414" t="s">
        <v>13217</v>
      </c>
      <c r="H76" s="415">
        <v>0</v>
      </c>
      <c r="I76" s="416" t="s">
        <v>1755</v>
      </c>
      <c r="J76" s="416" t="s">
        <v>1755</v>
      </c>
      <c r="K76" s="224"/>
      <c r="L76" s="224"/>
      <c r="M76" s="224"/>
      <c r="N76" s="224"/>
      <c r="O76" s="224"/>
      <c r="P76" s="185"/>
      <c r="Q76" s="225"/>
      <c r="R76" s="182" t="str">
        <f ca="1">IF(ISERROR($V76),"",OFFSET('Smelter Look-up'!$C$4,$V76-4,0)&amp;"")</f>
        <v>EM Vinto</v>
      </c>
      <c r="S76" s="181" t="str">
        <f t="shared" ca="1" si="11"/>
        <v>BO</v>
      </c>
      <c r="T76" s="181" t="str">
        <f ca="1">IF(B76="","",IF(ISERROR(MATCH($J76,SorP!$B$1:$B$6226,0)),"",INDIRECT("'SorP'!$A$"&amp;MATCH($S76&amp;$J76,SorP!C:C,0))))</f>
        <v>BO-O</v>
      </c>
      <c r="U76" s="201"/>
      <c r="V76" s="226">
        <f>IF(C76="",NA(),IF(OR(C76="Smelter not listed",C76="Smelter not yet identified"),MATCH($B76&amp;$D76,'Smelter Look-up'!$J:$J,0),MATCH($B76&amp;$C76,'Smelter Look-up'!$J:$J,0)))</f>
        <v>433</v>
      </c>
      <c r="X76" s="227">
        <f t="shared" si="12"/>
        <v>0</v>
      </c>
      <c r="AB76" s="228" t="str">
        <f t="shared" si="13"/>
        <v>TinEM Vinto</v>
      </c>
    </row>
    <row r="77" spans="1:28" s="227" customFormat="1" ht="63.75">
      <c r="A77" s="419" t="s">
        <v>15063</v>
      </c>
      <c r="B77" s="414" t="s">
        <v>1120</v>
      </c>
      <c r="C77" s="417" t="s">
        <v>15062</v>
      </c>
      <c r="D77" s="418"/>
      <c r="E77" s="414" t="s">
        <v>1095</v>
      </c>
      <c r="F77" s="414" t="s">
        <v>15063</v>
      </c>
      <c r="G77" s="414" t="s">
        <v>13217</v>
      </c>
      <c r="H77" s="415">
        <v>0</v>
      </c>
      <c r="I77" s="416" t="s">
        <v>15108</v>
      </c>
      <c r="J77" s="416" t="s">
        <v>12830</v>
      </c>
      <c r="K77" s="224"/>
      <c r="L77" s="224"/>
      <c r="M77" s="224"/>
      <c r="N77" s="224"/>
      <c r="O77" s="224"/>
      <c r="P77" s="185"/>
      <c r="Q77" s="225"/>
      <c r="R77" s="182" t="str">
        <f ca="1">IF(ISERROR($V77),"",OFFSET('Smelter Look-up'!$C$4,$V77-4,0)&amp;"")</f>
        <v>PT Aries Kencana Sejahtera</v>
      </c>
      <c r="S77" s="181" t="str">
        <f t="shared" ca="1" si="11"/>
        <v>ID</v>
      </c>
      <c r="T77" s="181" t="str">
        <f ca="1">IF(B77="","",IF(ISERROR(MATCH($J77,SorP!$B$1:$B$6226,0)),"",INDIRECT("'SorP'!$A$"&amp;MATCH($S77&amp;$J77,SorP!C:C,0))))</f>
        <v>ID-BB</v>
      </c>
      <c r="U77" s="201"/>
      <c r="V77" s="226">
        <f>IF(C77="",NA(),IF(OR(C77="Smelter not listed",C77="Smelter not yet identified"),MATCH($B77&amp;$D77,'Smelter Look-up'!$J:$J,0),MATCH($B77&amp;$C77,'Smelter Look-up'!$J:$J,0)))</f>
        <v>503</v>
      </c>
      <c r="X77" s="227">
        <f t="shared" si="12"/>
        <v>0</v>
      </c>
      <c r="AB77" s="228" t="str">
        <f t="shared" si="13"/>
        <v>TinPT Aries Kencana Sejahtera</v>
      </c>
    </row>
    <row r="78" spans="1:28" s="227" customFormat="1" ht="51">
      <c r="A78" s="419" t="s">
        <v>15088</v>
      </c>
      <c r="B78" s="414" t="s">
        <v>1120</v>
      </c>
      <c r="C78" s="417" t="s">
        <v>15087</v>
      </c>
      <c r="D78" s="418"/>
      <c r="E78" s="414" t="s">
        <v>1095</v>
      </c>
      <c r="F78" s="414" t="s">
        <v>15088</v>
      </c>
      <c r="G78" s="414" t="s">
        <v>13217</v>
      </c>
      <c r="H78" s="415">
        <v>0</v>
      </c>
      <c r="I78" s="416" t="s">
        <v>15109</v>
      </c>
      <c r="J78" s="416" t="s">
        <v>12830</v>
      </c>
      <c r="K78" s="224"/>
      <c r="L78" s="224"/>
      <c r="M78" s="224"/>
      <c r="N78" s="224"/>
      <c r="O78" s="224"/>
      <c r="P78" s="185"/>
      <c r="Q78" s="225"/>
      <c r="R78" s="182" t="str">
        <f ca="1">IF(ISERROR($V78),"",OFFSET('Smelter Look-up'!$C$4,$V78-4,0)&amp;"")</f>
        <v>PT Tinindo Inter Nusa</v>
      </c>
      <c r="S78" s="181" t="str">
        <f t="shared" ca="1" si="11"/>
        <v>ID</v>
      </c>
      <c r="T78" s="181" t="str">
        <f ca="1">IF(B78="","",IF(ISERROR(MATCH($J78,SorP!$B$1:$B$6226,0)),"",INDIRECT("'SorP'!$A$"&amp;MATCH($S78&amp;$J78,SorP!C:C,0))))</f>
        <v>ID-BB</v>
      </c>
      <c r="U78" s="201"/>
      <c r="V78" s="226">
        <f>IF(C78="",NA(),IF(OR(C78="Smelter not listed",C78="Smelter not yet identified"),MATCH($B78&amp;$D78,'Smelter Look-up'!$J:$J,0),MATCH($B78&amp;$C78,'Smelter Look-up'!$J:$J,0)))</f>
        <v>534</v>
      </c>
      <c r="X78" s="227">
        <f t="shared" si="12"/>
        <v>0</v>
      </c>
      <c r="AB78" s="228" t="str">
        <f t="shared" si="13"/>
        <v>TinPT Tinindo Inter Nusa</v>
      </c>
    </row>
    <row r="79" spans="1:28" s="227" customFormat="1" ht="20.25">
      <c r="A79" s="181"/>
      <c r="B79" s="182"/>
      <c r="C79" s="186"/>
      <c r="D79" s="230"/>
      <c r="E79" s="182"/>
      <c r="F79" s="182"/>
      <c r="G79" s="182"/>
      <c r="H79" s="183"/>
      <c r="I79" s="184"/>
      <c r="J79" s="184"/>
      <c r="K79" s="224"/>
      <c r="L79" s="224"/>
      <c r="M79" s="224"/>
      <c r="N79" s="224"/>
      <c r="O79" s="224"/>
      <c r="P79" s="185"/>
      <c r="Q79" s="225"/>
      <c r="R79" s="182"/>
      <c r="S79" s="181"/>
      <c r="T79" s="181"/>
      <c r="U79" s="201"/>
      <c r="V79" s="226"/>
      <c r="AB79" s="228"/>
    </row>
    <row r="80" spans="1:28" s="227" customFormat="1" ht="20.25">
      <c r="A80" s="425" t="s">
        <v>779</v>
      </c>
      <c r="B80" s="420" t="s">
        <v>1120</v>
      </c>
      <c r="C80" s="423" t="s">
        <v>1783</v>
      </c>
      <c r="D80" s="424"/>
      <c r="E80" s="420" t="s">
        <v>878</v>
      </c>
      <c r="F80" s="420" t="s">
        <v>779</v>
      </c>
      <c r="G80" s="420" t="s">
        <v>13217</v>
      </c>
      <c r="H80" s="421">
        <v>0</v>
      </c>
      <c r="I80" s="422" t="s">
        <v>1781</v>
      </c>
      <c r="J80" s="422" t="s">
        <v>1782</v>
      </c>
      <c r="K80" s="224"/>
      <c r="L80" s="224"/>
      <c r="M80" s="224"/>
      <c r="N80" s="224"/>
      <c r="O80" s="224"/>
      <c r="P80" s="185"/>
      <c r="Q80" s="225"/>
      <c r="R80" s="182"/>
      <c r="S80" s="181"/>
      <c r="T80" s="181"/>
      <c r="U80" s="201"/>
      <c r="V80" s="226"/>
      <c r="AB80" s="228"/>
    </row>
    <row r="81" spans="1:28" s="227" customFormat="1" ht="63.75">
      <c r="A81" s="425" t="s">
        <v>702</v>
      </c>
      <c r="B81" s="420" t="s">
        <v>1119</v>
      </c>
      <c r="C81" s="423" t="s">
        <v>1217</v>
      </c>
      <c r="D81" s="424"/>
      <c r="E81" s="420" t="s">
        <v>2415</v>
      </c>
      <c r="F81" s="420" t="s">
        <v>702</v>
      </c>
      <c r="G81" s="420" t="s">
        <v>13217</v>
      </c>
      <c r="H81" s="421">
        <v>0</v>
      </c>
      <c r="I81" s="422" t="s">
        <v>1616</v>
      </c>
      <c r="J81" s="422" t="s">
        <v>1617</v>
      </c>
      <c r="K81" s="224"/>
      <c r="L81" s="224"/>
      <c r="M81" s="224"/>
      <c r="N81" s="224"/>
      <c r="O81" s="224"/>
      <c r="P81" s="185"/>
      <c r="Q81" s="225"/>
      <c r="R81" s="182" t="str">
        <f ca="1">IF(ISERROR($V81),"",OFFSET('Smelter Look-up'!$C$4,$V81-4,0)&amp;"")</f>
        <v>Metalor USA Refining Corporation</v>
      </c>
      <c r="S81" s="181" t="str">
        <f t="shared" ca="1" si="11"/>
        <v>US</v>
      </c>
      <c r="T81" s="181" t="str">
        <f ca="1">IF(B81="","",IF(ISERROR(MATCH($J81,SorP!$B$1:$B$6226,0)),"",INDIRECT("'SorP'!$A$"&amp;MATCH($S81&amp;$J81,SorP!C:C,0))))</f>
        <v>US-MA</v>
      </c>
      <c r="U81" s="201"/>
      <c r="V81" s="226">
        <f>IF(C81="",NA(),IF(OR(C81="Smelter not listed",C81="Smelter not yet identified"),MATCH($B81&amp;$D81,'Smelter Look-up'!$J:$J,0),MATCH($B81&amp;$C81,'Smelter Look-up'!$J:$J,0)))</f>
        <v>187</v>
      </c>
      <c r="X81" s="227">
        <f t="shared" si="12"/>
        <v>0</v>
      </c>
      <c r="AB81" s="228" t="str">
        <f t="shared" si="13"/>
        <v>GoldMetalor USA Refining Corporation</v>
      </c>
    </row>
    <row r="82" spans="1:28" s="227" customFormat="1" ht="20.25">
      <c r="A82" s="181"/>
      <c r="B82" s="182"/>
      <c r="C82" s="186"/>
      <c r="D82" s="230"/>
      <c r="E82" s="182"/>
      <c r="F82" s="182"/>
      <c r="G82" s="182"/>
      <c r="H82" s="183"/>
      <c r="I82" s="184"/>
      <c r="J82" s="184"/>
      <c r="K82" s="224"/>
      <c r="L82" s="224"/>
      <c r="M82" s="224"/>
      <c r="N82" s="224"/>
      <c r="O82" s="224"/>
      <c r="P82" s="185"/>
      <c r="Q82" s="225"/>
      <c r="R82" s="182"/>
      <c r="S82" s="181"/>
      <c r="T82" s="181"/>
      <c r="U82" s="201"/>
      <c r="V82" s="226"/>
      <c r="AB82" s="228"/>
    </row>
    <row r="83" spans="1:28" s="227" customFormat="1" ht="20.25">
      <c r="A83" s="432" t="s">
        <v>683</v>
      </c>
      <c r="B83" s="427" t="s">
        <v>1119</v>
      </c>
      <c r="C83" s="430" t="s">
        <v>2269</v>
      </c>
      <c r="D83" s="431"/>
      <c r="E83" s="427" t="s">
        <v>1087</v>
      </c>
      <c r="F83" s="427" t="s">
        <v>683</v>
      </c>
      <c r="G83" s="427" t="s">
        <v>13217</v>
      </c>
      <c r="H83" s="428">
        <v>0</v>
      </c>
      <c r="I83" s="429" t="s">
        <v>1594</v>
      </c>
      <c r="J83" s="429" t="s">
        <v>1595</v>
      </c>
      <c r="K83" s="224"/>
      <c r="L83" s="224"/>
      <c r="M83" s="224"/>
      <c r="N83" s="224"/>
      <c r="O83" s="224"/>
      <c r="P83" s="185"/>
      <c r="Q83" s="225"/>
      <c r="R83" s="182" t="str">
        <f ca="1">IF(ISERROR($V83),"",OFFSET('Smelter Look-up'!$C$4,$V83-4,0)&amp;"")</f>
        <v>Asahi Refining Canada Ltd.</v>
      </c>
      <c r="S83" s="181" t="str">
        <f t="shared" ca="1" si="11"/>
        <v>CA</v>
      </c>
      <c r="T83" s="181" t="str">
        <f ca="1">IF(B83="","",IF(ISERROR(MATCH($J83,SorP!$B$1:$B$6226,0)),"",INDIRECT("'SorP'!$A$"&amp;MATCH($S83&amp;$J83,SorP!C:C,0))))</f>
        <v>CA-ON</v>
      </c>
      <c r="U83" s="201"/>
      <c r="V83" s="226">
        <f>IF(C83="",NA(),IF(OR(C83="Smelter not listed",C83="Smelter not yet identified"),MATCH($B83&amp;$D83,'Smelter Look-up'!$J:$J,0),MATCH($B83&amp;$C83,'Smelter Look-up'!$J:$J,0)))</f>
        <v>30</v>
      </c>
      <c r="X83" s="227">
        <f t="shared" si="12"/>
        <v>0</v>
      </c>
      <c r="AB83" s="228" t="str">
        <f t="shared" si="13"/>
        <v>GoldAsahi Refining Canada Ltd.</v>
      </c>
    </row>
    <row r="84" spans="1:28" s="227" customFormat="1" ht="20.25">
      <c r="A84" s="432" t="s">
        <v>673</v>
      </c>
      <c r="B84" s="427" t="s">
        <v>1119</v>
      </c>
      <c r="C84" s="430" t="s">
        <v>2483</v>
      </c>
      <c r="D84" s="431"/>
      <c r="E84" s="427" t="s">
        <v>1090</v>
      </c>
      <c r="F84" s="427" t="s">
        <v>673</v>
      </c>
      <c r="G84" s="427" t="s">
        <v>13217</v>
      </c>
      <c r="H84" s="428">
        <v>0</v>
      </c>
      <c r="I84" s="429" t="s">
        <v>1581</v>
      </c>
      <c r="J84" s="429" t="s">
        <v>15779</v>
      </c>
      <c r="K84" s="224"/>
      <c r="L84" s="224"/>
      <c r="M84" s="224"/>
      <c r="N84" s="224"/>
      <c r="O84" s="224"/>
      <c r="P84" s="185"/>
      <c r="Q84" s="225"/>
      <c r="R84" s="182" t="str">
        <f ca="1">IF(ISERROR($V84),"",OFFSET('Smelter Look-up'!$C$4,$V84-4,0)&amp;"")</f>
        <v>Heraeus Metals Hong Kong Ltd.</v>
      </c>
      <c r="S84" s="181" t="str">
        <f t="shared" ca="1" si="11"/>
        <v>CN</v>
      </c>
      <c r="T84" s="181" t="str">
        <f ca="1">IF(B84="","",IF(ISERROR(MATCH($J84,SorP!$B$1:$B$6226,0)),"",INDIRECT("'SorP'!$A$"&amp;MATCH($S84&amp;$J84,SorP!C:C,0))))</f>
        <v>CN-HK</v>
      </c>
      <c r="U84" s="201"/>
      <c r="V84" s="226">
        <f>IF(C84="",NA(),IF(OR(C84="Smelter not listed",C84="Smelter not yet identified"),MATCH($B84&amp;$D84,'Smelter Look-up'!$J:$J,0),MATCH($B84&amp;$C84,'Smelter Look-up'!$J:$J,0)))</f>
        <v>111</v>
      </c>
      <c r="X84" s="227">
        <f t="shared" si="12"/>
        <v>0</v>
      </c>
      <c r="AB84" s="228" t="str">
        <f t="shared" si="13"/>
        <v>GoldHeraeus Metals Hong Kong Ltd.</v>
      </c>
    </row>
    <row r="85" spans="1:28" s="227" customFormat="1" ht="25.5">
      <c r="A85" s="432" t="s">
        <v>689</v>
      </c>
      <c r="B85" s="427" t="s">
        <v>1119</v>
      </c>
      <c r="C85" s="430" t="s">
        <v>688</v>
      </c>
      <c r="D85" s="431"/>
      <c r="E85" s="427" t="s">
        <v>2415</v>
      </c>
      <c r="F85" s="427" t="s">
        <v>689</v>
      </c>
      <c r="G85" s="427" t="s">
        <v>13217</v>
      </c>
      <c r="H85" s="428">
        <v>0</v>
      </c>
      <c r="I85" s="429" t="s">
        <v>1599</v>
      </c>
      <c r="J85" s="429" t="s">
        <v>1592</v>
      </c>
      <c r="K85" s="224"/>
      <c r="L85" s="224"/>
      <c r="M85" s="224"/>
      <c r="N85" s="224"/>
      <c r="O85" s="224"/>
      <c r="P85" s="185"/>
      <c r="Q85" s="225"/>
      <c r="R85" s="182" t="str">
        <f ca="1">IF(ISERROR($V85),"",OFFSET('Smelter Look-up'!$C$4,$V85-4,0)&amp;"")</f>
        <v>Kennecott Utah Copper LLC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146</v>
      </c>
      <c r="X85" s="227">
        <f t="shared" si="12"/>
        <v>0</v>
      </c>
      <c r="AB85" s="228" t="str">
        <f t="shared" si="13"/>
        <v>GoldKennecott Utah Copper LLC</v>
      </c>
    </row>
    <row r="86" spans="1:28" s="227" customFormat="1" ht="25.5">
      <c r="A86" s="432" t="s">
        <v>702</v>
      </c>
      <c r="B86" s="427" t="s">
        <v>1119</v>
      </c>
      <c r="C86" s="430" t="s">
        <v>1217</v>
      </c>
      <c r="D86" s="431"/>
      <c r="E86" s="427" t="s">
        <v>2415</v>
      </c>
      <c r="F86" s="427" t="s">
        <v>702</v>
      </c>
      <c r="G86" s="427" t="s">
        <v>13217</v>
      </c>
      <c r="H86" s="428">
        <v>0</v>
      </c>
      <c r="I86" s="429" t="s">
        <v>1616</v>
      </c>
      <c r="J86" s="429" t="s">
        <v>1617</v>
      </c>
      <c r="K86" s="224"/>
      <c r="L86" s="224"/>
      <c r="M86" s="224"/>
      <c r="N86" s="224"/>
      <c r="O86" s="224"/>
      <c r="P86" s="185"/>
      <c r="Q86" s="225"/>
      <c r="R86" s="182" t="str">
        <f ca="1">IF(ISERROR($V86),"",OFFSET('Smelter Look-up'!$C$4,$V86-4,0)&amp;"")</f>
        <v>Metalor USA Refining Corporation</v>
      </c>
      <c r="S86" s="181" t="str">
        <f t="shared" ca="1" si="11"/>
        <v>US</v>
      </c>
      <c r="T86" s="181" t="str">
        <f ca="1">IF(B86="","",IF(ISERROR(MATCH($J86,SorP!$B$1:$B$6226,0)),"",INDIRECT("'SorP'!$A$"&amp;MATCH($S86&amp;$J86,SorP!C:C,0))))</f>
        <v>US-MA</v>
      </c>
      <c r="U86" s="201"/>
      <c r="V86" s="226">
        <f>IF(C86="",NA(),IF(OR(C86="Smelter not listed",C86="Smelter not yet identified"),MATCH($B86&amp;$D86,'Smelter Look-up'!$J:$J,0),MATCH($B86&amp;$C86,'Smelter Look-up'!$J:$J,0)))</f>
        <v>187</v>
      </c>
      <c r="X86" s="227">
        <f t="shared" si="12"/>
        <v>0</v>
      </c>
      <c r="AB86" s="228" t="str">
        <f t="shared" si="13"/>
        <v>GoldMetalor USA Refining Corporation</v>
      </c>
    </row>
    <row r="87" spans="1:28" s="227" customFormat="1" ht="25.5">
      <c r="A87" s="432" t="s">
        <v>703</v>
      </c>
      <c r="B87" s="427" t="s">
        <v>1119</v>
      </c>
      <c r="C87" s="430" t="s">
        <v>12407</v>
      </c>
      <c r="D87" s="431"/>
      <c r="E87" s="427" t="s">
        <v>1103</v>
      </c>
      <c r="F87" s="427" t="s">
        <v>703</v>
      </c>
      <c r="G87" s="427" t="s">
        <v>13217</v>
      </c>
      <c r="H87" s="428">
        <v>0</v>
      </c>
      <c r="I87" s="429" t="s">
        <v>1618</v>
      </c>
      <c r="J87" s="429" t="s">
        <v>12863</v>
      </c>
      <c r="K87" s="224"/>
      <c r="L87" s="224"/>
      <c r="M87" s="224"/>
      <c r="N87" s="224"/>
      <c r="O87" s="224"/>
      <c r="P87" s="185"/>
      <c r="Q87" s="225"/>
      <c r="R87" s="182" t="str">
        <f ca="1">IF(ISERROR($V87),"",OFFSET('Smelter Look-up'!$C$4,$V87-4,0)&amp;"")</f>
        <v>Metalurgica Met-Mex Penoles S.A. De C.V.</v>
      </c>
      <c r="S87" s="181" t="str">
        <f t="shared" ca="1" si="11"/>
        <v>MX</v>
      </c>
      <c r="T87" s="181" t="str">
        <f ca="1">IF(B87="","",IF(ISERROR(MATCH($J87,SorP!$B$1:$B$6226,0)),"",INDIRECT("'SorP'!$A$"&amp;MATCH($S87&amp;$J87,SorP!C:C,0))))</f>
        <v>MX-COA</v>
      </c>
      <c r="U87" s="201"/>
      <c r="V87" s="226">
        <f>IF(C87="",NA(),IF(OR(C87="Smelter not listed",C87="Smelter not yet identified"),MATCH($B87&amp;$D87,'Smelter Look-up'!$J:$J,0),MATCH($B87&amp;$C87,'Smelter Look-up'!$J:$J,0)))</f>
        <v>188</v>
      </c>
      <c r="X87" s="227">
        <f t="shared" si="12"/>
        <v>0</v>
      </c>
      <c r="AB87" s="228" t="str">
        <f t="shared" si="13"/>
        <v>GoldMetalurgica Met-Mex Penoles S.A. De C.V.</v>
      </c>
    </row>
    <row r="88" spans="1:28" s="227" customFormat="1" ht="20.25">
      <c r="A88" s="432" t="s">
        <v>718</v>
      </c>
      <c r="B88" s="427" t="s">
        <v>1119</v>
      </c>
      <c r="C88" s="430" t="s">
        <v>903</v>
      </c>
      <c r="D88" s="431"/>
      <c r="E88" s="427" t="s">
        <v>1087</v>
      </c>
      <c r="F88" s="427" t="s">
        <v>718</v>
      </c>
      <c r="G88" s="427" t="s">
        <v>13217</v>
      </c>
      <c r="H88" s="428">
        <v>0</v>
      </c>
      <c r="I88" s="429" t="s">
        <v>1637</v>
      </c>
      <c r="J88" s="429" t="s">
        <v>1595</v>
      </c>
      <c r="K88" s="224"/>
      <c r="L88" s="224"/>
      <c r="M88" s="224"/>
      <c r="N88" s="224"/>
      <c r="O88" s="224"/>
      <c r="P88" s="185"/>
      <c r="Q88" s="225"/>
      <c r="R88" s="182" t="str">
        <f ca="1">IF(ISERROR($V88),"",OFFSET('Smelter Look-up'!$C$4,$V88-4,0)&amp;"")</f>
        <v>Royal Canadian Mint</v>
      </c>
      <c r="S88" s="181" t="str">
        <f t="shared" ca="1" si="11"/>
        <v>CA</v>
      </c>
      <c r="T88" s="181" t="str">
        <f ca="1">IF(B88="","",IF(ISERROR(MATCH($J88,SorP!$B$1:$B$6226,0)),"",INDIRECT("'SorP'!$A$"&amp;MATCH($S88&amp;$J88,SorP!C:C,0))))</f>
        <v>CA-ON</v>
      </c>
      <c r="U88" s="201"/>
      <c r="V88" s="226">
        <f>IF(C88="",NA(),IF(OR(C88="Smelter not listed",C88="Smelter not yet identified"),MATCH($B88&amp;$D88,'Smelter Look-up'!$J:$J,0),MATCH($B88&amp;$C88,'Smelter Look-up'!$J:$J,0)))</f>
        <v>232</v>
      </c>
      <c r="X88" s="227">
        <f t="shared" si="12"/>
        <v>0</v>
      </c>
      <c r="AB88" s="228" t="str">
        <f t="shared" si="13"/>
        <v>GoldRoyal Canadian Mint</v>
      </c>
    </row>
    <row r="89" spans="1:28" s="227" customFormat="1" ht="20.25">
      <c r="A89" s="432" t="s">
        <v>660</v>
      </c>
      <c r="B89" s="427" t="s">
        <v>1119</v>
      </c>
      <c r="C89" s="430" t="s">
        <v>2223</v>
      </c>
      <c r="D89" s="431"/>
      <c r="E89" s="427" t="s">
        <v>1087</v>
      </c>
      <c r="F89" s="427" t="s">
        <v>660</v>
      </c>
      <c r="G89" s="427" t="s">
        <v>13217</v>
      </c>
      <c r="H89" s="428">
        <v>0</v>
      </c>
      <c r="I89" s="429" t="s">
        <v>1554</v>
      </c>
      <c r="J89" s="429" t="s">
        <v>1555</v>
      </c>
      <c r="K89" s="224"/>
      <c r="L89" s="224"/>
      <c r="M89" s="224"/>
      <c r="N89" s="224"/>
      <c r="O89" s="224"/>
      <c r="P89" s="185"/>
      <c r="Q89" s="225"/>
      <c r="R89" s="182" t="str">
        <f ca="1">IF(ISERROR($V89),"",OFFSET('Smelter Look-up'!$C$4,$V89-4,0)&amp;"")</f>
        <v>CCR Refinery - Glencore Canada Corporation</v>
      </c>
      <c r="S89" s="181" t="str">
        <f t="shared" ca="1" si="11"/>
        <v>CA</v>
      </c>
      <c r="T89" s="181" t="str">
        <f ca="1">IF(B89="","",IF(ISERROR(MATCH($J89,SorP!$B$1:$B$6226,0)),"",INDIRECT("'SorP'!$A$"&amp;MATCH($S89&amp;$J89,SorP!C:C,0))))</f>
        <v>CA-QC</v>
      </c>
      <c r="U89" s="201"/>
      <c r="V89" s="226">
        <f>IF(C89="",NA(),IF(OR(C89="Smelter not listed",C89="Smelter not yet identified"),MATCH($B89&amp;$D89,'Smelter Look-up'!$J:$J,0),MATCH($B89&amp;$C89,'Smelter Look-up'!$J:$J,0)))</f>
        <v>47</v>
      </c>
      <c r="X89" s="227">
        <f t="shared" si="12"/>
        <v>0</v>
      </c>
      <c r="AB89" s="228" t="str">
        <f t="shared" si="13"/>
        <v>GoldCCR Refinery - Glencore Canada Corporation</v>
      </c>
    </row>
    <row r="90" spans="1:28" s="227" customFormat="1" ht="20.25">
      <c r="A90" s="432" t="s">
        <v>767</v>
      </c>
      <c r="B90" s="427" t="s">
        <v>1120</v>
      </c>
      <c r="C90" s="430" t="s">
        <v>12408</v>
      </c>
      <c r="D90" s="431"/>
      <c r="E90" s="427" t="s">
        <v>1086</v>
      </c>
      <c r="F90" s="427" t="s">
        <v>767</v>
      </c>
      <c r="G90" s="427" t="s">
        <v>13217</v>
      </c>
      <c r="H90" s="428">
        <v>0</v>
      </c>
      <c r="I90" s="429" t="s">
        <v>1769</v>
      </c>
      <c r="J90" s="429" t="s">
        <v>1666</v>
      </c>
      <c r="K90" s="224"/>
      <c r="L90" s="224"/>
      <c r="M90" s="224"/>
      <c r="N90" s="224"/>
      <c r="O90" s="224"/>
      <c r="P90" s="185"/>
      <c r="Q90" s="225"/>
      <c r="R90" s="182" t="str">
        <f ca="1">IF(ISERROR($V90),"",OFFSET('Smelter Look-up'!$C$4,$V90-4,0)&amp;"")</f>
        <v>Mineracao Taboca S.A.</v>
      </c>
      <c r="S90" s="181" t="str">
        <f t="shared" ca="1" si="11"/>
        <v>BR</v>
      </c>
      <c r="T90" s="181" t="str">
        <f ca="1">IF(B90="","",IF(ISERROR(MATCH($J90,SorP!$B$1:$B$6226,0)),"",INDIRECT("'SorP'!$A$"&amp;MATCH($S90&amp;$J90,SorP!C:C,0))))</f>
        <v>BR-SP</v>
      </c>
      <c r="U90" s="201"/>
      <c r="V90" s="226">
        <f>IF(C90="",NA(),IF(OR(C90="Smelter not listed",C90="Smelter not yet identified"),MATCH($B90&amp;$D90,'Smelter Look-up'!$J:$J,0),MATCH($B90&amp;$C90,'Smelter Look-up'!$J:$J,0)))</f>
        <v>482</v>
      </c>
      <c r="X90" s="227">
        <f t="shared" si="12"/>
        <v>0</v>
      </c>
      <c r="AB90" s="228" t="str">
        <f t="shared" si="13"/>
        <v>TinMineracao Taboca S.A.</v>
      </c>
    </row>
    <row r="91" spans="1:28" s="227" customFormat="1" ht="20.25">
      <c r="A91" s="432" t="s">
        <v>794</v>
      </c>
      <c r="B91" s="427" t="s">
        <v>1120</v>
      </c>
      <c r="C91" s="430" t="s">
        <v>13779</v>
      </c>
      <c r="D91" s="431"/>
      <c r="E91" s="427" t="s">
        <v>1095</v>
      </c>
      <c r="F91" s="427" t="s">
        <v>794</v>
      </c>
      <c r="G91" s="427" t="s">
        <v>13217</v>
      </c>
      <c r="H91" s="428">
        <v>0</v>
      </c>
      <c r="I91" s="429" t="s">
        <v>1778</v>
      </c>
      <c r="J91" s="429" t="s">
        <v>6047</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IF(C91="",NA(),IF(OR(C91="Smelter not listed",C91="Smelter not yet identified"),MATCH($B91&amp;$D91,'Smelter Look-up'!$J:$J,0),MATCH($B91&amp;$C91,'Smelter Look-up'!$J:$J,0)))</f>
        <v>532</v>
      </c>
      <c r="X91" s="227">
        <f t="shared" si="12"/>
        <v>0</v>
      </c>
      <c r="AB91" s="228" t="str">
        <f t="shared" si="13"/>
        <v>TinPT Timah Tbk Kundur</v>
      </c>
    </row>
    <row r="92" spans="1:28" s="227" customFormat="1" ht="25.5">
      <c r="A92" s="432" t="s">
        <v>15080</v>
      </c>
      <c r="B92" s="427" t="s">
        <v>1120</v>
      </c>
      <c r="C92" s="430" t="s">
        <v>15079</v>
      </c>
      <c r="D92" s="431"/>
      <c r="E92" s="427" t="s">
        <v>1095</v>
      </c>
      <c r="F92" s="427" t="s">
        <v>15080</v>
      </c>
      <c r="G92" s="427" t="s">
        <v>13217</v>
      </c>
      <c r="H92" s="428">
        <v>0</v>
      </c>
      <c r="I92" s="429" t="s">
        <v>15109</v>
      </c>
      <c r="J92" s="429" t="s">
        <v>12830</v>
      </c>
      <c r="K92" s="224"/>
      <c r="L92" s="224"/>
      <c r="M92" s="224"/>
      <c r="N92" s="224"/>
      <c r="O92" s="224"/>
      <c r="P92" s="185"/>
      <c r="Q92" s="225"/>
      <c r="R92" s="182" t="str">
        <f ca="1">IF(ISERROR($V92),"",OFFSET('Smelter Look-up'!$C$4,$V92-4,0)&amp;"")</f>
        <v>PT Prima Timah Utama</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522</v>
      </c>
      <c r="X92" s="227">
        <f t="shared" si="12"/>
        <v>0</v>
      </c>
      <c r="AB92" s="228" t="str">
        <f t="shared" si="13"/>
        <v>TinPT Prima Timah Utama</v>
      </c>
    </row>
    <row r="93" spans="1:28" s="227" customFormat="1" ht="25.5">
      <c r="A93" s="432" t="s">
        <v>775</v>
      </c>
      <c r="B93" s="427" t="s">
        <v>1120</v>
      </c>
      <c r="C93" s="430" t="s">
        <v>2141</v>
      </c>
      <c r="D93" s="431"/>
      <c r="E93" s="427" t="s">
        <v>1095</v>
      </c>
      <c r="F93" s="427" t="s">
        <v>775</v>
      </c>
      <c r="G93" s="427" t="s">
        <v>13217</v>
      </c>
      <c r="H93" s="428">
        <v>0</v>
      </c>
      <c r="I93" s="429" t="s">
        <v>1753</v>
      </c>
      <c r="J93" s="429" t="s">
        <v>12830</v>
      </c>
      <c r="K93" s="224"/>
      <c r="L93" s="224"/>
      <c r="M93" s="224"/>
      <c r="N93" s="224"/>
      <c r="O93" s="224"/>
      <c r="P93" s="185"/>
      <c r="Q93" s="225"/>
      <c r="R93" s="182" t="str">
        <f ca="1">IF(ISERROR($V93),"",OFFSET('Smelter Look-up'!$C$4,$V93-4,0)&amp;"")</f>
        <v>PT Refined Bangka Tin</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526</v>
      </c>
      <c r="X93" s="227">
        <f t="shared" si="12"/>
        <v>0</v>
      </c>
      <c r="AB93" s="228" t="str">
        <f t="shared" si="13"/>
        <v>TinPT Refined Bangka Tin</v>
      </c>
    </row>
    <row r="94" spans="1:28" s="227" customFormat="1" ht="38.25">
      <c r="A94" s="432" t="s">
        <v>772</v>
      </c>
      <c r="B94" s="427" t="s">
        <v>1120</v>
      </c>
      <c r="C94" s="430" t="s">
        <v>13780</v>
      </c>
      <c r="D94" s="431"/>
      <c r="E94" s="427" t="s">
        <v>2413</v>
      </c>
      <c r="F94" s="427" t="s">
        <v>772</v>
      </c>
      <c r="G94" s="427" t="s">
        <v>13217</v>
      </c>
      <c r="H94" s="428">
        <v>0</v>
      </c>
      <c r="I94" s="429" t="s">
        <v>1755</v>
      </c>
      <c r="J94" s="429" t="s">
        <v>1755</v>
      </c>
      <c r="K94" s="224"/>
      <c r="L94" s="224"/>
      <c r="M94" s="224"/>
      <c r="N94" s="224"/>
      <c r="O94" s="224"/>
      <c r="P94" s="185"/>
      <c r="Q94" s="225"/>
      <c r="R94" s="182" t="str">
        <f ca="1">IF(ISERROR($V94),"",OFFSET('Smelter Look-up'!$C$4,$V94-4,0)&amp;"")</f>
        <v>Operaciones Metalurgicas S.A.</v>
      </c>
      <c r="S94" s="181" t="str">
        <f t="shared" ca="1" si="11"/>
        <v>BO</v>
      </c>
      <c r="T94" s="181" t="str">
        <f ca="1">IF(B94="","",IF(ISERROR(MATCH($J94,SorP!$B$1:$B$6226,0)),"",INDIRECT("'SorP'!$A$"&amp;MATCH($S94&amp;$J94,SorP!C:C,0))))</f>
        <v>BO-O</v>
      </c>
      <c r="U94" s="201"/>
      <c r="V94" s="226">
        <f>IF(C94="",NA(),IF(OR(C94="Smelter not listed",C94="Smelter not yet identified"),MATCH($B94&amp;$D94,'Smelter Look-up'!$J:$J,0),MATCH($B94&amp;$C94,'Smelter Look-up'!$J:$J,0)))</f>
        <v>499</v>
      </c>
      <c r="X94" s="227">
        <f t="shared" si="12"/>
        <v>0</v>
      </c>
      <c r="AB94" s="228" t="str">
        <f t="shared" si="13"/>
        <v>TinOperaciones Metalurgicas S.A.</v>
      </c>
    </row>
    <row r="95" spans="1:28" s="227" customFormat="1" ht="20.25">
      <c r="A95" s="432" t="s">
        <v>768</v>
      </c>
      <c r="B95" s="427" t="s">
        <v>1120</v>
      </c>
      <c r="C95" s="430" t="s">
        <v>1024</v>
      </c>
      <c r="D95" s="431"/>
      <c r="E95" s="427" t="s">
        <v>870</v>
      </c>
      <c r="F95" s="427" t="s">
        <v>768</v>
      </c>
      <c r="G95" s="427" t="s">
        <v>13217</v>
      </c>
      <c r="H95" s="428">
        <v>0</v>
      </c>
      <c r="I95" s="429" t="s">
        <v>1771</v>
      </c>
      <c r="J95" s="429" t="s">
        <v>9093</v>
      </c>
      <c r="K95" s="224"/>
      <c r="L95" s="224"/>
      <c r="M95" s="224"/>
      <c r="N95" s="224"/>
      <c r="O95" s="224"/>
      <c r="P95" s="185"/>
      <c r="Q95" s="225"/>
      <c r="R95" s="182" t="str">
        <f ca="1">IF(ISERROR($V95),"",OFFSET('Smelter Look-up'!$C$4,$V95-4,0)&amp;"")</f>
        <v>Minsur</v>
      </c>
      <c r="S95" s="181" t="str">
        <f t="shared" ca="1" si="11"/>
        <v>PE</v>
      </c>
      <c r="T95" s="181" t="str">
        <f ca="1">IF(B95="","",IF(ISERROR(MATCH($J95,SorP!$B$1:$B$6226,0)),"",INDIRECT("'SorP'!$A$"&amp;MATCH($S95&amp;$J95,SorP!C:C,0))))</f>
        <v>PE-ICA</v>
      </c>
      <c r="U95" s="201"/>
      <c r="V95" s="226">
        <f>IF(C95="",NA(),IF(OR(C95="Smelter not listed",C95="Smelter not yet identified"),MATCH($B95&amp;$D95,'Smelter Look-up'!$J:$J,0),MATCH($B95&amp;$C95,'Smelter Look-up'!$J:$J,0)))</f>
        <v>487</v>
      </c>
      <c r="X95" s="227">
        <f t="shared" si="12"/>
        <v>0</v>
      </c>
      <c r="AB95" s="228" t="str">
        <f t="shared" si="13"/>
        <v>TinMinsur</v>
      </c>
    </row>
    <row r="96" spans="1:28" s="227" customFormat="1" ht="25.5">
      <c r="A96" s="432" t="s">
        <v>776</v>
      </c>
      <c r="B96" s="427" t="s">
        <v>1120</v>
      </c>
      <c r="C96" s="430" t="s">
        <v>13778</v>
      </c>
      <c r="D96" s="431"/>
      <c r="E96" s="427" t="s">
        <v>1095</v>
      </c>
      <c r="F96" s="427" t="s">
        <v>776</v>
      </c>
      <c r="G96" s="427" t="s">
        <v>13217</v>
      </c>
      <c r="H96" s="428">
        <v>0</v>
      </c>
      <c r="I96" s="429" t="s">
        <v>1780</v>
      </c>
      <c r="J96" s="429" t="s">
        <v>12830</v>
      </c>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533</v>
      </c>
      <c r="X96" s="227">
        <f t="shared" si="12"/>
        <v>0</v>
      </c>
      <c r="AB96" s="228" t="str">
        <f t="shared" si="13"/>
        <v>TinPT Timah Tbk Mentok</v>
      </c>
    </row>
    <row r="97" spans="1:28" s="227" customFormat="1" ht="20.25">
      <c r="A97" s="432" t="s">
        <v>1801</v>
      </c>
      <c r="B97" s="427" t="s">
        <v>1120</v>
      </c>
      <c r="C97" s="430" t="s">
        <v>15496</v>
      </c>
      <c r="D97" s="431"/>
      <c r="E97" s="427" t="s">
        <v>1085</v>
      </c>
      <c r="F97" s="427" t="s">
        <v>1801</v>
      </c>
      <c r="G97" s="427" t="s">
        <v>13217</v>
      </c>
      <c r="H97" s="428">
        <v>0</v>
      </c>
      <c r="I97" s="429" t="s">
        <v>1802</v>
      </c>
      <c r="J97" s="429" t="s">
        <v>3135</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IF(C97="",NA(),IF(OR(C97="Smelter not listed",C97="Smelter not yet identified"),MATCH($B97&amp;$D97,'Smelter Look-up'!$J:$J,0),MATCH($B97&amp;$C97,'Smelter Look-up'!$J:$J,0)))</f>
        <v>405</v>
      </c>
      <c r="X97" s="227">
        <f t="shared" si="12"/>
        <v>0</v>
      </c>
      <c r="AB97" s="228" t="str">
        <f t="shared" si="13"/>
        <v>TinAurubis Beerse</v>
      </c>
    </row>
    <row r="98" spans="1:28" s="227" customFormat="1" ht="25.5">
      <c r="A98" s="426" t="s">
        <v>775</v>
      </c>
      <c r="B98" s="427" t="s">
        <v>1120</v>
      </c>
      <c r="C98" s="430" t="s">
        <v>2141</v>
      </c>
      <c r="D98" s="431"/>
      <c r="E98" s="427" t="s">
        <v>1095</v>
      </c>
      <c r="F98" s="427" t="s">
        <v>775</v>
      </c>
      <c r="G98" s="427" t="s">
        <v>13217</v>
      </c>
      <c r="H98" s="428">
        <v>0</v>
      </c>
      <c r="I98" s="429" t="s">
        <v>1753</v>
      </c>
      <c r="J98" s="429" t="s">
        <v>12830</v>
      </c>
      <c r="K98" s="224"/>
      <c r="L98" s="224"/>
      <c r="M98" s="224"/>
      <c r="N98" s="224"/>
      <c r="O98" s="224"/>
      <c r="P98" s="185"/>
      <c r="Q98" s="225"/>
      <c r="R98" s="182" t="str">
        <f ca="1">IF(ISERROR($V98),"",OFFSET('Smelter Look-up'!$C$4,$V98-4,0)&amp;"")</f>
        <v>PT Refined Bangka Tin</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526</v>
      </c>
      <c r="X98" s="227">
        <f t="shared" si="12"/>
        <v>0</v>
      </c>
      <c r="AB98" s="228" t="str">
        <f t="shared" si="13"/>
        <v>TinPT Refined Bangka Tin</v>
      </c>
    </row>
    <row r="99" spans="1:28" s="227" customFormat="1" ht="38.25">
      <c r="A99" s="426" t="s">
        <v>772</v>
      </c>
      <c r="B99" s="427" t="s">
        <v>1120</v>
      </c>
      <c r="C99" s="430" t="s">
        <v>13780</v>
      </c>
      <c r="D99" s="431"/>
      <c r="E99" s="427" t="s">
        <v>2413</v>
      </c>
      <c r="F99" s="427" t="s">
        <v>772</v>
      </c>
      <c r="G99" s="427" t="s">
        <v>13217</v>
      </c>
      <c r="H99" s="428">
        <v>0</v>
      </c>
      <c r="I99" s="429" t="s">
        <v>1755</v>
      </c>
      <c r="J99" s="429" t="s">
        <v>1755</v>
      </c>
      <c r="K99" s="224"/>
      <c r="L99" s="224"/>
      <c r="M99" s="224"/>
      <c r="N99" s="224"/>
      <c r="O99" s="224"/>
      <c r="P99" s="185"/>
      <c r="Q99" s="225"/>
      <c r="R99" s="182" t="str">
        <f ca="1">IF(ISERROR($V99),"",OFFSET('Smelter Look-up'!$C$4,$V99-4,0)&amp;"")</f>
        <v>Operaciones Metalurgicas S.A.</v>
      </c>
      <c r="S99" s="181" t="str">
        <f t="shared" ca="1" si="11"/>
        <v>BO</v>
      </c>
      <c r="T99" s="181" t="str">
        <f ca="1">IF(B99="","",IF(ISERROR(MATCH($J99,SorP!$B$1:$B$6226,0)),"",INDIRECT("'SorP'!$A$"&amp;MATCH($S99&amp;$J99,SorP!C:C,0))))</f>
        <v>BO-O</v>
      </c>
      <c r="U99" s="201"/>
      <c r="V99" s="226">
        <f>IF(C99="",NA(),IF(OR(C99="Smelter not listed",C99="Smelter not yet identified"),MATCH($B99&amp;$D99,'Smelter Look-up'!$J:$J,0),MATCH($B99&amp;$C99,'Smelter Look-up'!$J:$J,0)))</f>
        <v>499</v>
      </c>
      <c r="X99" s="227">
        <f t="shared" si="12"/>
        <v>0</v>
      </c>
      <c r="AB99" s="228" t="str">
        <f t="shared" si="13"/>
        <v>TinOperaciones Metalurgicas S.A.</v>
      </c>
    </row>
    <row r="100" spans="1:28" s="227" customFormat="1" ht="20.25">
      <c r="A100" s="426" t="s">
        <v>779</v>
      </c>
      <c r="B100" s="427" t="s">
        <v>1120</v>
      </c>
      <c r="C100" s="430" t="s">
        <v>1021</v>
      </c>
      <c r="D100" s="431"/>
      <c r="E100" s="427" t="s">
        <v>15872</v>
      </c>
      <c r="F100" s="427" t="s">
        <v>779</v>
      </c>
      <c r="G100" s="427" t="s">
        <v>13217</v>
      </c>
      <c r="H100" s="428">
        <v>0</v>
      </c>
      <c r="I100" s="429" t="s">
        <v>1781</v>
      </c>
      <c r="J100" s="429" t="s">
        <v>1782</v>
      </c>
      <c r="K100" s="224"/>
      <c r="L100" s="224"/>
      <c r="M100" s="224"/>
      <c r="N100" s="224"/>
      <c r="O100" s="224"/>
      <c r="P100" s="185"/>
      <c r="Q100" s="225"/>
      <c r="R100" s="182" t="str">
        <f ca="1">IF(ISERROR($V100),"",OFFSET('Smelter Look-up'!$C$4,$V100-4,0)&amp;"")</f>
        <v>Thaisarco</v>
      </c>
      <c r="S100" s="181" t="str">
        <f t="shared" ca="1" si="11"/>
        <v>TH</v>
      </c>
      <c r="T100" s="181" t="str">
        <f ca="1">IF(B100="","",IF(ISERROR(MATCH($J100,SorP!$B$1:$B$6226,0)),"",INDIRECT("'SorP'!$A$"&amp;MATCH($S100&amp;$J100,SorP!C:C,0))))</f>
        <v>TH-83</v>
      </c>
      <c r="U100" s="201"/>
      <c r="V100" s="226">
        <f>IF(C100="",NA(),IF(OR(C100="Smelter not listed",C100="Smelter not yet identified"),MATCH($B100&amp;$D100,'Smelter Look-up'!$J:$J,0),MATCH($B100&amp;$C100,'Smelter Look-up'!$J:$J,0)))</f>
        <v>547</v>
      </c>
      <c r="X100" s="227">
        <f t="shared" si="12"/>
        <v>0</v>
      </c>
      <c r="AB100" s="228" t="str">
        <f t="shared" si="13"/>
        <v>TinThaisarco</v>
      </c>
    </row>
    <row r="101" spans="1:28" s="227" customFormat="1" ht="25.5">
      <c r="A101" s="426" t="s">
        <v>15435</v>
      </c>
      <c r="B101" s="427" t="s">
        <v>1120</v>
      </c>
      <c r="C101" s="430" t="s">
        <v>15434</v>
      </c>
      <c r="D101" s="431"/>
      <c r="E101" s="427" t="s">
        <v>1095</v>
      </c>
      <c r="F101" s="427" t="s">
        <v>15435</v>
      </c>
      <c r="G101" s="427" t="s">
        <v>13217</v>
      </c>
      <c r="H101" s="428">
        <v>0</v>
      </c>
      <c r="I101" s="429" t="s">
        <v>15109</v>
      </c>
      <c r="J101" s="429" t="s">
        <v>12830</v>
      </c>
      <c r="K101" s="224"/>
      <c r="L101" s="224"/>
      <c r="M101" s="224"/>
      <c r="N101" s="224"/>
      <c r="O101" s="224"/>
      <c r="P101" s="185"/>
      <c r="Q101" s="225"/>
      <c r="R101" s="182" t="str">
        <f ca="1">IF(ISERROR($V101),"",OFFSET('Smelter Look-up'!$C$4,$V101-4,0)&amp;"")</f>
        <v>PT Bukit Timah</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512</v>
      </c>
      <c r="X101" s="227">
        <f t="shared" si="12"/>
        <v>0</v>
      </c>
      <c r="AB101" s="228" t="str">
        <f t="shared" si="13"/>
        <v>TinPT Bukit Timah</v>
      </c>
    </row>
    <row r="102" spans="1:28" s="227" customFormat="1" ht="25.5">
      <c r="A102" s="426" t="s">
        <v>15084</v>
      </c>
      <c r="B102" s="427" t="s">
        <v>1120</v>
      </c>
      <c r="C102" s="430" t="s">
        <v>15083</v>
      </c>
      <c r="D102" s="431"/>
      <c r="E102" s="427" t="s">
        <v>1095</v>
      </c>
      <c r="F102" s="427" t="s">
        <v>15084</v>
      </c>
      <c r="G102" s="427" t="s">
        <v>13217</v>
      </c>
      <c r="H102" s="428">
        <v>0</v>
      </c>
      <c r="I102" s="429" t="s">
        <v>15109</v>
      </c>
      <c r="J102" s="429" t="s">
        <v>12830</v>
      </c>
      <c r="K102" s="224"/>
      <c r="L102" s="224"/>
      <c r="M102" s="224"/>
      <c r="N102" s="224"/>
      <c r="O102" s="224"/>
      <c r="P102" s="185"/>
      <c r="Q102" s="225"/>
      <c r="R102" s="182" t="str">
        <f ca="1">IF(ISERROR($V102),"",OFFSET('Smelter Look-up'!$C$4,$V102-4,0)&amp;"")</f>
        <v>PT Stanindo Inti Perkasa</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528</v>
      </c>
      <c r="X102" s="227">
        <f t="shared" ref="X102:X132" si="15">IF(AND(C102="Smelter not listed",OR(LEN(D102)=0,LEN(E102)=0)),1,0)</f>
        <v>0</v>
      </c>
      <c r="AB102" s="228" t="str">
        <f t="shared" ref="AB102:AB132" si="16">B102&amp;C102</f>
        <v>TinPT Stanindo Inti Perkasa</v>
      </c>
    </row>
    <row r="103" spans="1:28" s="227" customFormat="1" ht="25.5">
      <c r="A103" s="426" t="s">
        <v>14001</v>
      </c>
      <c r="B103" s="427" t="s">
        <v>1120</v>
      </c>
      <c r="C103" s="430" t="s">
        <v>12914</v>
      </c>
      <c r="D103" s="431"/>
      <c r="E103" s="427" t="s">
        <v>1095</v>
      </c>
      <c r="F103" s="427" t="s">
        <v>14001</v>
      </c>
      <c r="G103" s="427" t="s">
        <v>13217</v>
      </c>
      <c r="H103" s="428">
        <v>0</v>
      </c>
      <c r="I103" s="429" t="s">
        <v>15113</v>
      </c>
      <c r="J103" s="429" t="s">
        <v>12830</v>
      </c>
      <c r="K103" s="224"/>
      <c r="L103" s="224"/>
      <c r="M103" s="224"/>
      <c r="N103" s="224"/>
      <c r="O103" s="224"/>
      <c r="P103" s="185"/>
      <c r="Q103" s="225"/>
      <c r="R103" s="182" t="str">
        <f ca="1">IF(ISERROR($V103),"",OFFSET('Smelter Look-up'!$C$4,$V103-4,0)&amp;"")</f>
        <v>PT Bangka Serumpun</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509</v>
      </c>
      <c r="X103" s="227">
        <f t="shared" si="15"/>
        <v>0</v>
      </c>
      <c r="AB103" s="228" t="str">
        <f t="shared" si="16"/>
        <v>TinPT Bangka Serumpun</v>
      </c>
    </row>
    <row r="104" spans="1:28" s="227" customFormat="1" ht="25.5">
      <c r="A104" s="426" t="s">
        <v>15463</v>
      </c>
      <c r="B104" s="427" t="s">
        <v>1120</v>
      </c>
      <c r="C104" s="430" t="s">
        <v>15462</v>
      </c>
      <c r="D104" s="431" t="s">
        <v>15462</v>
      </c>
      <c r="E104" s="427" t="s">
        <v>1095</v>
      </c>
      <c r="F104" s="427" t="s">
        <v>15463</v>
      </c>
      <c r="G104" s="427" t="s">
        <v>13217</v>
      </c>
      <c r="H104" s="428">
        <v>0</v>
      </c>
      <c r="I104" s="429" t="s">
        <v>15464</v>
      </c>
      <c r="J104" s="429" t="s">
        <v>12830</v>
      </c>
      <c r="K104" s="224"/>
      <c r="L104" s="224"/>
      <c r="M104" s="224"/>
      <c r="N104" s="224"/>
      <c r="O104" s="224"/>
      <c r="P104" s="185"/>
      <c r="Q104" s="225"/>
      <c r="R104" s="182" t="str">
        <f ca="1">IF(ISERROR($V104),"",OFFSET('Smelter Look-up'!$C$4,$V104-4,0)&amp;"")</f>
        <v>PT Tommy Utama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536</v>
      </c>
      <c r="X104" s="227">
        <f t="shared" si="15"/>
        <v>0</v>
      </c>
      <c r="AB104" s="228" t="str">
        <f t="shared" si="16"/>
        <v>TinPT Tommy Utama</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5.5">
      <c r="A106" s="181" t="s">
        <v>702</v>
      </c>
      <c r="B106" s="182" t="s">
        <v>1119</v>
      </c>
      <c r="C106" s="186" t="s">
        <v>1217</v>
      </c>
      <c r="D106" s="230"/>
      <c r="E106" s="182" t="s">
        <v>2415</v>
      </c>
      <c r="F106" s="182" t="s">
        <v>702</v>
      </c>
      <c r="G106" s="182" t="s">
        <v>13217</v>
      </c>
      <c r="H106" s="183">
        <v>0</v>
      </c>
      <c r="I106" s="184" t="s">
        <v>1616</v>
      </c>
      <c r="J106" s="184" t="s">
        <v>1617</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si="15"/>
        <v>0</v>
      </c>
      <c r="AB106" s="228" t="str">
        <f t="shared" si="16"/>
        <v>GoldMetalor USA Refining Corporation</v>
      </c>
    </row>
    <row r="107" spans="1:28" s="227" customFormat="1" ht="20.25">
      <c r="A107" s="181" t="s">
        <v>660</v>
      </c>
      <c r="B107" s="182" t="s">
        <v>1119</v>
      </c>
      <c r="C107" s="186" t="s">
        <v>2223</v>
      </c>
      <c r="D107" s="230"/>
      <c r="E107" s="182" t="s">
        <v>1087</v>
      </c>
      <c r="F107" s="182" t="s">
        <v>660</v>
      </c>
      <c r="G107" s="182" t="s">
        <v>13217</v>
      </c>
      <c r="H107" s="183">
        <v>0</v>
      </c>
      <c r="I107" s="184" t="s">
        <v>1554</v>
      </c>
      <c r="J107" s="184" t="s">
        <v>1555</v>
      </c>
      <c r="K107" s="224"/>
      <c r="L107" s="224"/>
      <c r="M107" s="224"/>
      <c r="N107" s="224"/>
      <c r="O107" s="224"/>
      <c r="P107" s="185"/>
      <c r="Q107" s="225"/>
      <c r="R107" s="182" t="str">
        <f ca="1">IF(ISERROR($V107),"",OFFSET('Smelter Look-up'!$C$4,$V107-4,0)&amp;"")</f>
        <v>CCR Refinery - Glencore Canada Corporation</v>
      </c>
      <c r="S107" s="181" t="str">
        <f t="shared" ca="1" si="14"/>
        <v>CA</v>
      </c>
      <c r="T107" s="181" t="str">
        <f ca="1">IF(B107="","",IF(ISERROR(MATCH($J107,SorP!$B$1:$B$6226,0)),"",INDIRECT("'SorP'!$A$"&amp;MATCH($S107&amp;$J107,SorP!C:C,0))))</f>
        <v>CA-QC</v>
      </c>
      <c r="U107" s="201"/>
      <c r="V107" s="226">
        <f>IF(C107="",NA(),IF(OR(C107="Smelter not listed",C107="Smelter not yet identified"),MATCH($B107&amp;$D107,'Smelter Look-up'!$J:$J,0),MATCH($B107&amp;$C107,'Smelter Look-up'!$J:$J,0)))</f>
        <v>47</v>
      </c>
      <c r="X107" s="227">
        <f t="shared" si="15"/>
        <v>0</v>
      </c>
      <c r="AB107" s="228" t="str">
        <f t="shared" si="16"/>
        <v>GoldCCR Refinery - Glencore Canada Corporation</v>
      </c>
    </row>
    <row r="108" spans="1:28" s="227" customFormat="1" ht="20.25">
      <c r="A108" s="181" t="s">
        <v>718</v>
      </c>
      <c r="B108" s="182" t="s">
        <v>1119</v>
      </c>
      <c r="C108" s="186" t="s">
        <v>903</v>
      </c>
      <c r="D108" s="230"/>
      <c r="E108" s="182" t="s">
        <v>1087</v>
      </c>
      <c r="F108" s="182" t="s">
        <v>718</v>
      </c>
      <c r="G108" s="182" t="s">
        <v>13217</v>
      </c>
      <c r="H108" s="183">
        <v>0</v>
      </c>
      <c r="I108" s="184" t="s">
        <v>1637</v>
      </c>
      <c r="J108" s="184" t="s">
        <v>1595</v>
      </c>
      <c r="K108" s="224"/>
      <c r="L108" s="224"/>
      <c r="M108" s="224"/>
      <c r="N108" s="224"/>
      <c r="O108" s="224"/>
      <c r="P108" s="185"/>
      <c r="Q108" s="225"/>
      <c r="R108" s="182" t="str">
        <f ca="1">IF(ISERROR($V108),"",OFFSET('Smelter Look-up'!$C$4,$V108-4,0)&amp;"")</f>
        <v>Royal Canadian Mint</v>
      </c>
      <c r="S108" s="181" t="str">
        <f t="shared" ca="1" si="14"/>
        <v>CA</v>
      </c>
      <c r="T108" s="181" t="str">
        <f ca="1">IF(B108="","",IF(ISERROR(MATCH($J108,SorP!$B$1:$B$6226,0)),"",INDIRECT("'SorP'!$A$"&amp;MATCH($S108&amp;$J108,SorP!C:C,0))))</f>
        <v>CA-ON</v>
      </c>
      <c r="U108" s="201"/>
      <c r="V108" s="226">
        <f>IF(C108="",NA(),IF(OR(C108="Smelter not listed",C108="Smelter not yet identified"),MATCH($B108&amp;$D108,'Smelter Look-up'!$J:$J,0),MATCH($B108&amp;$C108,'Smelter Look-up'!$J:$J,0)))</f>
        <v>232</v>
      </c>
      <c r="X108" s="227">
        <f t="shared" si="15"/>
        <v>0</v>
      </c>
      <c r="AB108" s="228" t="str">
        <f t="shared" si="16"/>
        <v>GoldRoyal Canadian Mint</v>
      </c>
    </row>
    <row r="109" spans="1:28" s="227" customFormat="1" ht="25.5">
      <c r="A109" s="181" t="s">
        <v>703</v>
      </c>
      <c r="B109" s="182" t="s">
        <v>1119</v>
      </c>
      <c r="C109" s="186" t="s">
        <v>2123</v>
      </c>
      <c r="D109" s="230"/>
      <c r="E109" s="182" t="s">
        <v>1103</v>
      </c>
      <c r="F109" s="182" t="s">
        <v>703</v>
      </c>
      <c r="G109" s="182" t="s">
        <v>13217</v>
      </c>
      <c r="H109" s="183">
        <v>0</v>
      </c>
      <c r="I109" s="184" t="s">
        <v>1618</v>
      </c>
      <c r="J109" s="184" t="s">
        <v>12863</v>
      </c>
      <c r="K109" s="224"/>
      <c r="L109" s="224"/>
      <c r="M109" s="224"/>
      <c r="N109" s="224"/>
      <c r="O109" s="224"/>
      <c r="P109" s="185"/>
      <c r="Q109" s="225"/>
      <c r="R109" s="182" t="str">
        <f ca="1">IF(ISERROR($V109),"",OFFSET('Smelter Look-up'!$C$4,$V109-4,0)&amp;"")</f>
        <v>Metalurgica Met-Mex Penoles S.A. De C.V.</v>
      </c>
      <c r="S109" s="181" t="str">
        <f t="shared" ca="1" si="14"/>
        <v>MX</v>
      </c>
      <c r="T109" s="181" t="str">
        <f ca="1">IF(B109="","",IF(ISERROR(MATCH($J109,SorP!$B$1:$B$6226,0)),"",INDIRECT("'SorP'!$A$"&amp;MATCH($S109&amp;$J109,SorP!C:C,0))))</f>
        <v>MX-COA</v>
      </c>
      <c r="U109" s="201"/>
      <c r="V109" s="226">
        <f>IF(C109="",NA(),IF(OR(C109="Smelter not listed",C109="Smelter not yet identified"),MATCH($B109&amp;$D109,'Smelter Look-up'!$J:$J,0),MATCH($B109&amp;$C109,'Smelter Look-up'!$J:$J,0)))</f>
        <v>191</v>
      </c>
      <c r="X109" s="227">
        <f t="shared" si="15"/>
        <v>0</v>
      </c>
      <c r="AB109" s="228" t="str">
        <f t="shared" si="16"/>
        <v>GoldMet-Mex Penoles, S.A.</v>
      </c>
    </row>
    <row r="110" spans="1:28" s="227" customFormat="1" ht="20.25">
      <c r="A110" s="181" t="s">
        <v>768</v>
      </c>
      <c r="B110" s="182" t="s">
        <v>1120</v>
      </c>
      <c r="C110" s="186" t="s">
        <v>1024</v>
      </c>
      <c r="D110" s="230"/>
      <c r="E110" s="182" t="s">
        <v>870</v>
      </c>
      <c r="F110" s="182" t="s">
        <v>768</v>
      </c>
      <c r="G110" s="182" t="s">
        <v>13217</v>
      </c>
      <c r="H110" s="183">
        <v>0</v>
      </c>
      <c r="I110" s="184" t="s">
        <v>1771</v>
      </c>
      <c r="J110" s="184" t="s">
        <v>9093</v>
      </c>
      <c r="K110" s="224"/>
      <c r="L110" s="224"/>
      <c r="M110" s="224"/>
      <c r="N110" s="224"/>
      <c r="O110" s="224"/>
      <c r="P110" s="185"/>
      <c r="Q110" s="225"/>
      <c r="R110" s="182" t="str">
        <f ca="1">IF(ISERROR($V110),"",OFFSET('Smelter Look-up'!$C$4,$V110-4,0)&amp;"")</f>
        <v>Minsur</v>
      </c>
      <c r="S110" s="181" t="str">
        <f t="shared" ca="1" si="14"/>
        <v>PE</v>
      </c>
      <c r="T110" s="181" t="str">
        <f ca="1">IF(B110="","",IF(ISERROR(MATCH($J110,SorP!$B$1:$B$6226,0)),"",INDIRECT("'SorP'!$A$"&amp;MATCH($S110&amp;$J110,SorP!C:C,0))))</f>
        <v>PE-ICA</v>
      </c>
      <c r="U110" s="201"/>
      <c r="V110" s="226">
        <f>IF(C110="",NA(),IF(OR(C110="Smelter not listed",C110="Smelter not yet identified"),MATCH($B110&amp;$D110,'Smelter Look-up'!$J:$J,0),MATCH($B110&amp;$C110,'Smelter Look-up'!$J:$J,0)))</f>
        <v>487</v>
      </c>
      <c r="X110" s="227">
        <f t="shared" si="15"/>
        <v>0</v>
      </c>
      <c r="AB110" s="228" t="str">
        <f t="shared" si="16"/>
        <v>TinMinsur</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42607F-8DC1-43BB-91FD-1E33C51C638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D56" sqref="D5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halsit holdings, llc dba abbatron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Fontana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engineering@abbatron.com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814-724-6440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James A. Sitter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sales@abbatron.com </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https://www.abbatron.com/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Joshua Fontana</cp:lastModifiedBy>
  <cp:lastPrinted>2015-04-21T20:47:43Z</cp:lastPrinted>
  <dcterms:created xsi:type="dcterms:W3CDTF">2010-06-21T21:00:23Z</dcterms:created>
  <dcterms:modified xsi:type="dcterms:W3CDTF">2024-07-25T14:35:01Z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